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95" windowHeight="6150" firstSheet="1" activeTab="3"/>
  </bookViews>
  <sheets>
    <sheet name="Info" sheetId="1" r:id="rId1"/>
    <sheet name="Réf." sheetId="2" r:id="rId2"/>
    <sheet name="sujet " sheetId="3" r:id="rId3"/>
    <sheet name=" correction" sheetId="4" r:id="rId4"/>
    <sheet name="liste M O" sheetId="5" r:id="rId5"/>
    <sheet name="matériel centre" sheetId="6" r:id="rId6"/>
    <sheet name="matériel candidat" sheetId="7" r:id="rId7"/>
    <sheet name="recettes" sheetId="8" r:id="rId8"/>
  </sheets>
  <definedNames>
    <definedName name="painsp">'recettes'!$L$1:$T$33</definedName>
    <definedName name="paintf">'recettes'!$B$1:$K$33</definedName>
    <definedName name="pâtelevée">'recettes'!$W$1:$Y$33</definedName>
  </definedNames>
  <calcPr fullCalcOnLoad="1"/>
</workbook>
</file>

<file path=xl/comments3.xml><?xml version="1.0" encoding="utf-8"?>
<comments xmlns="http://schemas.openxmlformats.org/spreadsheetml/2006/main">
  <authors>
    <author>PARSY</author>
  </authors>
  <commentList>
    <comment ref="N11" authorId="0">
      <text>
        <r>
          <rPr>
            <b/>
            <sz val="8"/>
            <rFont val="Tahoma"/>
            <family val="0"/>
          </rPr>
          <t>Indiquez votre quantité de farine de base (sans gruau). Ne pas oublier qu'au CAP le total des farines est de 1000 g</t>
        </r>
        <r>
          <rPr>
            <sz val="8"/>
            <rFont val="Tahoma"/>
            <family val="0"/>
          </rPr>
          <t xml:space="preserve">
</t>
        </r>
      </text>
    </comment>
    <comment ref="W21" authorId="0">
      <text>
        <r>
          <rPr>
            <b/>
            <sz val="8"/>
            <rFont val="Tahoma"/>
            <family val="0"/>
          </rPr>
          <t xml:space="preserve">Indiquez la pâte levée de votre choix
pain au lait
brioche
</t>
        </r>
        <r>
          <rPr>
            <b/>
            <sz val="8"/>
            <color indexed="10"/>
            <rFont val="Tahoma"/>
            <family val="2"/>
          </rPr>
          <t>Attention, seul le pain au lait est autorisé au CAP</t>
        </r>
        <r>
          <rPr>
            <sz val="8"/>
            <rFont val="Tahoma"/>
            <family val="0"/>
          </rPr>
          <t xml:space="preserve">
</t>
        </r>
      </text>
    </comment>
    <comment ref="E32" authorId="0">
      <text>
        <r>
          <rPr>
            <b/>
            <sz val="8"/>
            <rFont val="Tahoma"/>
            <family val="0"/>
          </rPr>
          <t>Indiquez la forme de votre pain spécial</t>
        </r>
        <r>
          <rPr>
            <sz val="8"/>
            <rFont val="Tahoma"/>
            <family val="0"/>
          </rPr>
          <t xml:space="preserve">
</t>
        </r>
      </text>
    </comment>
    <comment ref="W7" authorId="0">
      <text>
        <r>
          <rPr>
            <b/>
            <sz val="8"/>
            <rFont val="Tahoma"/>
            <family val="0"/>
          </rPr>
          <t>Indiquez la forme de PLF parmi la liste ci-dessous :
croissant
pain au chocolat</t>
        </r>
        <r>
          <rPr>
            <sz val="8"/>
            <rFont val="Tahoma"/>
            <family val="0"/>
          </rPr>
          <t xml:space="preserve">
</t>
        </r>
        <r>
          <rPr>
            <b/>
            <sz val="8"/>
            <color indexed="10"/>
            <rFont val="Tahoma"/>
            <family val="2"/>
          </rPr>
          <t>Attention, seul les croisants sont autorisés au CAP</t>
        </r>
      </text>
    </comment>
    <comment ref="N25" authorId="0">
      <text>
        <r>
          <rPr>
            <b/>
            <sz val="8"/>
            <rFont val="Tahoma"/>
            <family val="0"/>
          </rPr>
          <t>Indiquez votre quantité de farine de base (sans gruau). Ne pas oublier qu'au CAP le total des farines est de 1000 g</t>
        </r>
        <r>
          <rPr>
            <sz val="8"/>
            <rFont val="Tahoma"/>
            <family val="0"/>
          </rPr>
          <t xml:space="preserve">
</t>
        </r>
      </text>
    </comment>
    <comment ref="L22" authorId="0">
      <text>
        <r>
          <rPr>
            <b/>
            <sz val="8"/>
            <rFont val="Tahoma"/>
            <family val="0"/>
          </rPr>
          <t>indiquez le nombre de pièces</t>
        </r>
      </text>
    </comment>
    <comment ref="D7" authorId="0">
      <text>
        <r>
          <rPr>
            <b/>
            <sz val="8"/>
            <rFont val="Tahoma"/>
            <family val="0"/>
          </rPr>
          <t>indiquez la forme du produit puis l'indication "pesé(e)s à"</t>
        </r>
        <r>
          <rPr>
            <sz val="8"/>
            <rFont val="Tahoma"/>
            <family val="0"/>
          </rPr>
          <t xml:space="preserve">
</t>
        </r>
      </text>
    </comment>
    <comment ref="C7" authorId="0">
      <text>
        <r>
          <rPr>
            <b/>
            <sz val="8"/>
            <rFont val="Tahoma"/>
            <family val="0"/>
          </rPr>
          <t>indiquez le nombre de produits à réaliser</t>
        </r>
        <r>
          <rPr>
            <sz val="8"/>
            <rFont val="Tahoma"/>
            <family val="0"/>
          </rPr>
          <t xml:space="preserve">
</t>
        </r>
      </text>
    </comment>
    <comment ref="F7" authorId="0">
      <text>
        <r>
          <rPr>
            <b/>
            <sz val="8"/>
            <rFont val="Tahoma"/>
            <family val="0"/>
          </rPr>
          <t>indiquez le poids du produit sans ajouter "g"</t>
        </r>
        <r>
          <rPr>
            <sz val="8"/>
            <rFont val="Tahoma"/>
            <family val="0"/>
          </rPr>
          <t xml:space="preserve">
</t>
        </r>
      </text>
    </comment>
  </commentList>
</comments>
</file>

<file path=xl/sharedStrings.xml><?xml version="1.0" encoding="utf-8"?>
<sst xmlns="http://schemas.openxmlformats.org/spreadsheetml/2006/main" count="577" uniqueCount="283">
  <si>
    <t>sur</t>
  </si>
  <si>
    <t>réaliser la commande suivante :</t>
  </si>
  <si>
    <t>-</t>
  </si>
  <si>
    <t>indiquer les quantités de matières premières nécessaires et le procédé pour réaliser cette commande :</t>
  </si>
  <si>
    <t>Ingrédients de base</t>
  </si>
  <si>
    <t>Quantités à mettre en œuvre</t>
  </si>
  <si>
    <t>farine tradition franç.</t>
  </si>
  <si>
    <t>eau</t>
  </si>
  <si>
    <t>sel</t>
  </si>
  <si>
    <t>levure</t>
  </si>
  <si>
    <t>total</t>
  </si>
  <si>
    <t>Procédé de fabrication</t>
  </si>
  <si>
    <t>températures</t>
  </si>
  <si>
    <t>de base</t>
  </si>
  <si>
    <t>du fournil</t>
  </si>
  <si>
    <t>de la farine</t>
  </si>
  <si>
    <t>de l'eau</t>
  </si>
  <si>
    <t>de la cuisson</t>
  </si>
  <si>
    <t>durées</t>
  </si>
  <si>
    <r>
      <t>1</t>
    </r>
    <r>
      <rPr>
        <vertAlign val="superscript"/>
        <sz val="10"/>
        <rFont val="Arial"/>
        <family val="2"/>
      </rPr>
      <t>ére</t>
    </r>
    <r>
      <rPr>
        <sz val="10"/>
        <rFont val="Arial"/>
        <family val="0"/>
      </rPr>
      <t xml:space="preserve"> et 2</t>
    </r>
    <r>
      <rPr>
        <vertAlign val="superscript"/>
        <sz val="10"/>
        <rFont val="Arial"/>
        <family val="2"/>
      </rPr>
      <t>ème</t>
    </r>
    <r>
      <rPr>
        <sz val="10"/>
        <rFont val="Arial"/>
        <family val="0"/>
      </rPr>
      <t xml:space="preserve"> vitesse</t>
    </r>
  </si>
  <si>
    <t>durée du pointage</t>
  </si>
  <si>
    <t>durée d'apprêt</t>
  </si>
  <si>
    <t>durée de cuisson</t>
  </si>
  <si>
    <t>durées des cuissons</t>
  </si>
  <si>
    <t>autres Pains (</t>
  </si>
  <si>
    <t>)</t>
  </si>
  <si>
    <t xml:space="preserve">pesés à </t>
  </si>
  <si>
    <t>de 4 formes au choix du candidat.</t>
  </si>
  <si>
    <t>Indiquer  les quantités de matières premières nécessaire et le procédé pour réaliser cette commande :</t>
  </si>
  <si>
    <t>Indiquer ci-dessous les quantités de matières premières nécessaire pour réaliser cette commande :</t>
  </si>
  <si>
    <t>farine</t>
  </si>
  <si>
    <t>Procédé de fabrication ou commande</t>
  </si>
  <si>
    <t>Matières premières</t>
  </si>
  <si>
    <t>Impératif d'organisation :</t>
  </si>
  <si>
    <t>Utiliser ce tableau pour établir votre travail à réaliser sur 7 heures.</t>
  </si>
  <si>
    <t>Tradition</t>
  </si>
  <si>
    <t>Spéciaux</t>
  </si>
  <si>
    <t>Viennois 1</t>
  </si>
  <si>
    <t>Viennois 2</t>
  </si>
  <si>
    <t>légende :</t>
  </si>
  <si>
    <t>Suivant les habitudes du secteur ou :</t>
  </si>
  <si>
    <t>bleu ou P = pétrissage</t>
  </si>
  <si>
    <t>Jaune ou vert ou T = manupulations (pesage, façonnage, tourage, détaillage).</t>
  </si>
  <si>
    <t>Rouge ou C = cuissons.</t>
  </si>
  <si>
    <t>CAP Boulanger</t>
  </si>
  <si>
    <t>Viennoiseries</t>
  </si>
  <si>
    <t>FICHE TECHNIQUE CAP</t>
  </si>
  <si>
    <t>Pain tradition française</t>
  </si>
  <si>
    <t>Organisation du travail</t>
  </si>
  <si>
    <t>pâte fermentée</t>
  </si>
  <si>
    <t>Fabrication</t>
  </si>
  <si>
    <t>PILEVURE</t>
  </si>
  <si>
    <t>PIpâte fermentée</t>
  </si>
  <si>
    <t>PIpoolish</t>
  </si>
  <si>
    <t>PAlevure</t>
  </si>
  <si>
    <t>PApâte fermentée</t>
  </si>
  <si>
    <t>PApoolish</t>
  </si>
  <si>
    <t>PVLlevure</t>
  </si>
  <si>
    <t>PVLpâte fermentée</t>
  </si>
  <si>
    <t>PVLpoolish</t>
  </si>
  <si>
    <t>campagnepâte fermentée</t>
  </si>
  <si>
    <t>campagnepoolish</t>
  </si>
  <si>
    <t>completlevure</t>
  </si>
  <si>
    <t>pain au lait</t>
  </si>
  <si>
    <t>brioche</t>
  </si>
  <si>
    <t>poolish</t>
  </si>
  <si>
    <t>Matières 
premières</t>
  </si>
  <si>
    <t>Quantité utilisée</t>
  </si>
  <si>
    <t>Quantité
utilisée</t>
  </si>
  <si>
    <t>Farine T 55</t>
  </si>
  <si>
    <t>Farine T 65</t>
  </si>
  <si>
    <t>Farine T 150</t>
  </si>
  <si>
    <t>Farine T 45 gruau</t>
  </si>
  <si>
    <t>Farine T 170 seigle</t>
  </si>
  <si>
    <t xml:space="preserve">Farine T </t>
  </si>
  <si>
    <t>Total des farines</t>
  </si>
  <si>
    <t>Eau</t>
  </si>
  <si>
    <t>Sel</t>
  </si>
  <si>
    <t>Sucre</t>
  </si>
  <si>
    <t>Oeufs</t>
  </si>
  <si>
    <t>Lait (liquide)</t>
  </si>
  <si>
    <t>Lait (poudre)</t>
  </si>
  <si>
    <t>sons</t>
  </si>
  <si>
    <t>oeufs</t>
  </si>
  <si>
    <t>Divers ----------------</t>
  </si>
  <si>
    <t>Poids total</t>
  </si>
  <si>
    <t>50/52° C</t>
  </si>
  <si>
    <t>60/62° C</t>
  </si>
  <si>
    <t>64/66° C</t>
  </si>
  <si>
    <t>Pointage</t>
  </si>
  <si>
    <t>45 mn</t>
  </si>
  <si>
    <t>1 h 30</t>
  </si>
  <si>
    <t>2 h</t>
  </si>
  <si>
    <t>30 mn</t>
  </si>
  <si>
    <t>1 h</t>
  </si>
  <si>
    <t>Apprêt</t>
  </si>
  <si>
    <t>3 h</t>
  </si>
  <si>
    <t>4 h</t>
  </si>
  <si>
    <t>(façonnage manuel)</t>
  </si>
  <si>
    <t xml:space="preserve">Levure </t>
  </si>
  <si>
    <t>4 mn + 20 mn</t>
  </si>
  <si>
    <t>bâtards</t>
  </si>
  <si>
    <t>gluten</t>
  </si>
  <si>
    <t>Température de base</t>
  </si>
  <si>
    <t>3 + 5</t>
  </si>
  <si>
    <t>3 + 8</t>
  </si>
  <si>
    <t>7 + 3</t>
  </si>
  <si>
    <t>pétrissage :</t>
  </si>
  <si>
    <t>consistance</t>
  </si>
  <si>
    <t>cuisson</t>
  </si>
  <si>
    <t>four doux</t>
  </si>
  <si>
    <t>Pâte levée  (</t>
  </si>
  <si>
    <t>) Pétrissage mécanique.</t>
  </si>
  <si>
    <t>P.L.F</t>
  </si>
  <si>
    <t>douce</t>
  </si>
  <si>
    <t xml:space="preserve"> Matière d'œuvre par candidat  </t>
  </si>
  <si>
    <t>Coût par Candidat</t>
  </si>
  <si>
    <t>Tradition française</t>
  </si>
  <si>
    <t>Pain de Campagne</t>
  </si>
  <si>
    <t>Pâte levée feuilletée</t>
  </si>
  <si>
    <t xml:space="preserve">TOTAL </t>
  </si>
  <si>
    <t>Farine tradition française</t>
  </si>
  <si>
    <t>Farine complète</t>
  </si>
  <si>
    <t>Farine de seigle</t>
  </si>
  <si>
    <t xml:space="preserve">Farine T55   </t>
  </si>
  <si>
    <t xml:space="preserve">Eau </t>
  </si>
  <si>
    <t xml:space="preserve">Sel </t>
  </si>
  <si>
    <t>Levure</t>
  </si>
  <si>
    <t>Malt de blé</t>
  </si>
  <si>
    <t>Pâte fermentée</t>
  </si>
  <si>
    <t xml:space="preserve">Sucre  </t>
  </si>
  <si>
    <t>Poudre de lait</t>
  </si>
  <si>
    <t>Matière  grasse tourage</t>
  </si>
  <si>
    <t xml:space="preserve">Œufs </t>
  </si>
  <si>
    <t>Sucre casson</t>
  </si>
  <si>
    <t>Farine de gruau</t>
  </si>
  <si>
    <t>Pain au lait</t>
  </si>
  <si>
    <t>SESSION :</t>
  </si>
  <si>
    <t>Durée :</t>
  </si>
  <si>
    <t>Coefficient :</t>
  </si>
  <si>
    <t>sujet n°</t>
  </si>
  <si>
    <t>7 H</t>
  </si>
  <si>
    <t>EP 2 - Production</t>
  </si>
  <si>
    <t>Candidat n°</t>
  </si>
  <si>
    <t>Epreuve : Pratique</t>
  </si>
  <si>
    <t>A envoyer</t>
  </si>
  <si>
    <t>avec les convocations</t>
  </si>
  <si>
    <t>*</t>
  </si>
  <si>
    <t xml:space="preserve"> Ó</t>
  </si>
  <si>
    <t>une veste blanche</t>
  </si>
  <si>
    <t>une toque blanche</t>
  </si>
  <si>
    <t>un tablier blanc</t>
  </si>
  <si>
    <t>des chaussures ou des sabots blancs à usage professionnel</t>
  </si>
  <si>
    <t>une calculatrice</t>
  </si>
  <si>
    <t>coupe pâte</t>
  </si>
  <si>
    <t>rouleau</t>
  </si>
  <si>
    <t>couteau d'office</t>
  </si>
  <si>
    <t>couteau de tour</t>
  </si>
  <si>
    <t>lame boulangère</t>
  </si>
  <si>
    <t>paire de ciseaux</t>
  </si>
  <si>
    <t>thermomètre</t>
  </si>
  <si>
    <t>corne</t>
  </si>
  <si>
    <t>pinceau</t>
  </si>
  <si>
    <t>minuteur</t>
  </si>
  <si>
    <t>brosse</t>
  </si>
  <si>
    <t>Production</t>
  </si>
  <si>
    <t>PRIX 
UNITAIRE</t>
  </si>
  <si>
    <t>PRIX 
 TOTAL</t>
  </si>
  <si>
    <t>TOTAUX</t>
  </si>
  <si>
    <t>matière grasse</t>
  </si>
  <si>
    <t>4 mn + 12</t>
  </si>
  <si>
    <t>18 + 0</t>
  </si>
  <si>
    <t>completpâte fermentée</t>
  </si>
  <si>
    <t>campagnelevure</t>
  </si>
  <si>
    <t>completpoolish</t>
  </si>
  <si>
    <t>pain de seiglelevure</t>
  </si>
  <si>
    <t>pain de seiglepâte fermentée</t>
  </si>
  <si>
    <t>pain de seiglepoolish</t>
  </si>
  <si>
    <t>méth. de ferm.</t>
  </si>
  <si>
    <t>20 + 0</t>
  </si>
  <si>
    <t>bâtarde à ferme</t>
  </si>
  <si>
    <t>30 mn puis mettre en froid</t>
  </si>
  <si>
    <t>campagne</t>
  </si>
  <si>
    <t>farine type 55</t>
  </si>
  <si>
    <t>farine de seigle</t>
  </si>
  <si>
    <t>gruau</t>
  </si>
  <si>
    <t>lait</t>
  </si>
  <si>
    <t>sucre</t>
  </si>
  <si>
    <t>complément 
pétrissage</t>
  </si>
  <si>
    <t xml:space="preserve">3 mn en première vitesse/8 mn en deuxième vitesse </t>
  </si>
  <si>
    <t>+ 5 mn avec matière grasse</t>
  </si>
  <si>
    <t xml:space="preserve">3 mn en première vitesse/5 mn en deuxième vitesse </t>
  </si>
  <si>
    <t>+ 3 mn avec matière grasse</t>
  </si>
  <si>
    <t>Modes d'évaluation :</t>
  </si>
  <si>
    <t xml:space="preserve">A ) Evaluation par épreuve ponctuelle - durée : 7 heures : </t>
  </si>
  <si>
    <t xml:space="preserve">L'évaluation des candidats se fait sur la base d'une épreuve ponctuelle pratique et orale. </t>
  </si>
  <si>
    <t>L'épreuve comporte cinq domaines pratiques :</t>
  </si>
  <si>
    <t xml:space="preserve"> - pain de tradition française ;</t>
  </si>
  <si>
    <t xml:space="preserve"> - pain de campagne ;</t>
  </si>
  <si>
    <t xml:space="preserve"> - croissant ;</t>
  </si>
  <si>
    <t xml:space="preserve"> - produit en pâte à pain au lait ;</t>
  </si>
  <si>
    <t xml:space="preserve"> - présentation des produits finis. </t>
  </si>
  <si>
    <t>Et un domaine oral : un entretien de 20 minutes.</t>
  </si>
  <si>
    <t xml:space="preserve"> Le sujet a la forme d'une commande accompagnée de la fiche technique des produits à réaliser.</t>
  </si>
  <si>
    <t>La fiche technique, dont le modèle est annexé dans le référentiel, est complétée par la commission des
sujets. Elle peut être adaptée localement par le président du jury, pour tenir compte des contraintes 
techniques du jour de l'épreuve, ainsi que de l'équipement des locaux. Les pétrissages doivent être 
réalisés mécaniquement. Les façonnages sont réalisés manuellement.</t>
  </si>
  <si>
    <t xml:space="preserve">Description de l'épreuve : </t>
  </si>
  <si>
    <t xml:space="preserve">Les quantités de farine indiquées représentent la totalité des farines mises en œuvre. </t>
  </si>
  <si>
    <r>
      <t>I ) Pain de tradition française</t>
    </r>
    <r>
      <rPr>
        <sz val="10"/>
        <rFont val="Arial"/>
        <family val="0"/>
      </rPr>
      <t xml:space="preserve"> :  8 kg de farine environ sur pré fermentation.       </t>
    </r>
  </si>
  <si>
    <t xml:space="preserve">baguettes, pains longs et 2 autres formes différentes
</t>
  </si>
  <si>
    <t xml:space="preserve">24 petits pains de 3 formes différentes. </t>
  </si>
  <si>
    <r>
      <t>2) Pain de campagne</t>
    </r>
    <r>
      <rPr>
        <sz val="10"/>
        <rFont val="Arial"/>
        <family val="0"/>
      </rPr>
      <t xml:space="preserve"> : 3 kg de farine environ</t>
    </r>
  </si>
  <si>
    <t xml:space="preserve"> - 6 formes différentes de poids identique.  </t>
  </si>
  <si>
    <r>
      <t>3 ) Croissants</t>
    </r>
    <r>
      <rPr>
        <sz val="10"/>
        <rFont val="Arial"/>
        <family val="0"/>
      </rPr>
      <t xml:space="preserve"> : 1 kg de farine</t>
    </r>
  </si>
  <si>
    <r>
      <t>4) Produit en pâte à pain au lait</t>
    </r>
    <r>
      <rPr>
        <sz val="10"/>
        <rFont val="Arial"/>
        <family val="0"/>
      </rPr>
      <t xml:space="preserve"> : 1 kg de farine.</t>
    </r>
  </si>
  <si>
    <t xml:space="preserve"> - pièces de 60 g : 2 formes dont 1 forme fantaisie</t>
  </si>
  <si>
    <t xml:space="preserve"> - le reste de la pâte en grosses pièces (couronnes, tresses, etc...). </t>
  </si>
  <si>
    <r>
      <t>5) La présentation des produits finis</t>
    </r>
    <r>
      <rPr>
        <sz val="10"/>
        <rFont val="Arial"/>
        <family val="0"/>
      </rPr>
      <t>.</t>
    </r>
  </si>
  <si>
    <r>
      <t>6) L'entretien</t>
    </r>
    <r>
      <rPr>
        <sz val="10"/>
        <rFont val="Arial"/>
        <family val="0"/>
      </rPr>
      <t xml:space="preserve"> :. </t>
    </r>
  </si>
  <si>
    <t>II est d'une durée de 20 minutes maximum. Il porte sur les procédés de fabrication et produits finis (S2) et
les sciences appliquées (S4). En ce domaine, les questions portent d'une part sur le point S 4.4.1 et
d'autre part sur les points S 4.4.2 et S 4.4.3.</t>
  </si>
  <si>
    <t>Pour les connaissances des procédés de fabrication, l'entretien (10 minutes) est conduit par
deux membres du jury de pratique professionnelle, à savoir un professionnel et un professeur de
technologie boulangère.</t>
  </si>
  <si>
    <t>Pour les sciences appliquées, l'entretien (10 minutes) est conduit par un professeur de biotechnologie et 
 un professionnel.</t>
  </si>
  <si>
    <t>La feuille recette :
Seuls les ingrédients des recettes sont modifiables</t>
  </si>
  <si>
    <t>La feuille matériel :
Rien à signaler. 
Seul le cartouche n'est pas modifiable.</t>
  </si>
  <si>
    <r>
      <t xml:space="preserve">Pétrissage 
1 </t>
    </r>
    <r>
      <rPr>
        <vertAlign val="superscript"/>
        <sz val="9"/>
        <rFont val="Arial"/>
        <family val="2"/>
      </rPr>
      <t xml:space="preserve">ère et 2 ème </t>
    </r>
    <r>
      <rPr>
        <sz val="9"/>
        <rFont val="Arial"/>
        <family val="2"/>
      </rPr>
      <t>en mn</t>
    </r>
  </si>
  <si>
    <t>PI</t>
  </si>
  <si>
    <t>PA</t>
  </si>
  <si>
    <t>PVL</t>
  </si>
  <si>
    <t>pain de seigle</t>
  </si>
  <si>
    <t>complet</t>
  </si>
  <si>
    <t>Pâte levée feuilletée (</t>
  </si>
  <si>
    <t>formes :</t>
  </si>
  <si>
    <t>vide</t>
  </si>
  <si>
    <t>Recherchev</t>
  </si>
  <si>
    <t>pains pesés à</t>
  </si>
  <si>
    <t>baguettes pesées à</t>
  </si>
  <si>
    <t xml:space="preserve">1 h 30  </t>
  </si>
  <si>
    <t>bâtards pesés à</t>
  </si>
  <si>
    <t>petits pains pesés à</t>
  </si>
  <si>
    <t>croissants</t>
  </si>
  <si>
    <t>32 à 36 pièces</t>
  </si>
  <si>
    <t>selon équipement</t>
  </si>
  <si>
    <t>pièces</t>
  </si>
  <si>
    <t>de 6 formes au choix du candidat.</t>
  </si>
  <si>
    <t xml:space="preserve">Quantités à mettre en œuvre </t>
  </si>
  <si>
    <t>P</t>
  </si>
  <si>
    <t>T</t>
  </si>
  <si>
    <t>C</t>
  </si>
  <si>
    <t xml:space="preserve"> de 3 formes différentes</t>
  </si>
  <si>
    <t>8 mn en première vitesse</t>
  </si>
  <si>
    <t xml:space="preserve">30 mn </t>
  </si>
  <si>
    <t>1 h 15</t>
  </si>
  <si>
    <t>La tenue propre du boulanger (sans signe distinctif)</t>
  </si>
  <si>
    <t>Liste de matériels dont chaque candidat(e) doit se munir :</t>
  </si>
  <si>
    <t>un pantalon de travail</t>
  </si>
  <si>
    <t xml:space="preserve">* </t>
  </si>
  <si>
    <t>nécessaire à écrire</t>
  </si>
  <si>
    <t>au centre d'examen</t>
  </si>
  <si>
    <t>préparation matériel par centre</t>
  </si>
  <si>
    <t>un batteur mélangeur par candidat(e)</t>
  </si>
  <si>
    <t>four à sole</t>
  </si>
  <si>
    <t>four ventilé</t>
  </si>
  <si>
    <t>balances pour pesage des farines</t>
  </si>
  <si>
    <t>balances individuelles</t>
  </si>
  <si>
    <t>bannetons couronnes</t>
  </si>
  <si>
    <t>couches</t>
  </si>
  <si>
    <t>parisiens</t>
  </si>
  <si>
    <t>4 bassines plastiques de différentes contenances</t>
  </si>
  <si>
    <t>une planche à lever</t>
  </si>
  <si>
    <t>plaques en quantité suffisante</t>
  </si>
  <si>
    <t>grilles en quantité suffisante</t>
  </si>
  <si>
    <t>tour réfrigéré</t>
  </si>
  <si>
    <t>refroidisseur d'eau</t>
  </si>
  <si>
    <t>poste individuel</t>
  </si>
  <si>
    <t>tamis à farine</t>
  </si>
  <si>
    <t>laminoir</t>
  </si>
  <si>
    <t>un pétrin par candidat(e)</t>
  </si>
  <si>
    <t>mesures graduées d'un litre</t>
  </si>
  <si>
    <t>étuve</t>
  </si>
  <si>
    <r>
      <t>petit matériel</t>
    </r>
    <r>
      <rPr>
        <sz val="14"/>
        <rFont val="Arial"/>
        <family val="2"/>
      </rPr>
      <t xml:space="preserve"> :</t>
    </r>
  </si>
  <si>
    <t>En cas de problèmes, contactez moi.
Patrick PARSY
17, rue des faux
86240 Iteuil
p.parsy@cfametiers86.fr</t>
  </si>
  <si>
    <t>La feuille sujet :
Elle sert autant à la préparation de sujet d'examen qu'à la préparation de cours de CAP
Vous pouvez remplacer les quantités et les variétés de produits suivant le référentiel d'examen.
Aidez-vous des formulaires ou des commentaires des cellules (triangles rouges sur le coin de la cellule)
Ne remplissez pas les résultats, la feuille correction le fait à votre place.
Ne vous inquiétez pas, les formulaires ne s'imprime pas, donc pas de problème de présentation.
Le cartouche d'examen n'est modifiable qu'au niveau de la feuille sujet et de la cellule :
Groupement inter académique
L'année de la session
le numéro du sujet.
Les autres cartouches se rempliront automatiquement.</t>
  </si>
  <si>
    <t>La feuille correction :
Seule la partie organisation est modifiable
Si la recette ne vous convient pas modifiez-là au niveau de la feuille recette, tout en respectant l'ordre des cellules.</t>
  </si>
  <si>
    <t>la feuille M O :
Seul les prix unitaires sont modifiables.
Les cellules vierges d'ingrédients sont modifiables et uniquement celles-là.</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</si>
</sst>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00&quot; kg&quot;"/>
    <numFmt numFmtId="168" formatCode="#,##0.00\ &quot;€&quot;"/>
    <numFmt numFmtId="169" formatCode="0.000"/>
    <numFmt numFmtId="170" formatCode="00&quot; °C&quot;"/>
    <numFmt numFmtId="171" formatCode="00&quot; g&quot;"/>
    <numFmt numFmtId="172" formatCode="0.000&quot; pièces&quot;"/>
    <numFmt numFmtId="173" formatCode="00&quot; pièces&quot;"/>
    <numFmt numFmtId="174" formatCode="_-* #,##0.000\ &quot;€&quot;_-;\-* #,##0.000\ &quot;€&quot;_-;_-* &quot;-&quot;???\ &quot;€&quot;_-;_-@_-"/>
    <numFmt numFmtId="175" formatCode="#,##0.00\ [$€-1]"/>
  </numFmts>
  <fonts count="51">
    <font>
      <sz val="10"/>
      <name val="Arial"/>
      <family val="0"/>
    </font>
    <font>
      <sz val="9"/>
      <name val="Arial"/>
      <family val="2"/>
    </font>
    <font>
      <vertAlign val="superscript"/>
      <sz val="10"/>
      <name val="Arial"/>
      <family val="2"/>
    </font>
    <font>
      <u val="single"/>
      <sz val="10"/>
      <color indexed="12"/>
      <name val="Arial"/>
      <family val="0"/>
    </font>
    <font>
      <u val="single"/>
      <sz val="10"/>
      <color indexed="36"/>
      <name val="Arial"/>
      <family val="0"/>
    </font>
    <font>
      <u val="single"/>
      <sz val="10"/>
      <name val="Arial"/>
      <family val="2"/>
    </font>
    <font>
      <b/>
      <sz val="12"/>
      <name val="Arial"/>
      <family val="2"/>
    </font>
    <font>
      <b/>
      <sz val="10"/>
      <name val="Arial"/>
      <family val="2"/>
    </font>
    <font>
      <sz val="10"/>
      <color indexed="10"/>
      <name val="Arial"/>
      <family val="2"/>
    </font>
    <font>
      <vertAlign val="superscript"/>
      <sz val="9"/>
      <name val="Arial"/>
      <family val="2"/>
    </font>
    <font>
      <sz val="14"/>
      <color indexed="12"/>
      <name val="Arial"/>
      <family val="2"/>
    </font>
    <font>
      <sz val="14"/>
      <name val="Arial"/>
      <family val="2"/>
    </font>
    <font>
      <sz val="11"/>
      <name val="Arial"/>
      <family val="2"/>
    </font>
    <font>
      <b/>
      <sz val="11"/>
      <color indexed="12"/>
      <name val="Arial"/>
      <family val="2"/>
    </font>
    <font>
      <b/>
      <sz val="11"/>
      <name val="Lucida Calligraphy"/>
      <family val="4"/>
    </font>
    <font>
      <b/>
      <sz val="11"/>
      <name val="Arial"/>
      <family val="2"/>
    </font>
    <font>
      <sz val="8"/>
      <name val="Arial"/>
      <family val="2"/>
    </font>
    <font>
      <sz val="18"/>
      <name val="Arial"/>
      <family val="2"/>
    </font>
    <font>
      <sz val="12"/>
      <name val="Times New Roman"/>
      <family val="1"/>
    </font>
    <font>
      <sz val="12"/>
      <name val="Arial"/>
      <family val="0"/>
    </font>
    <font>
      <sz val="13"/>
      <name val="Arial"/>
      <family val="2"/>
    </font>
    <font>
      <sz val="11"/>
      <color indexed="12"/>
      <name val="Arial"/>
      <family val="2"/>
    </font>
    <font>
      <sz val="10"/>
      <color indexed="8"/>
      <name val="Arial"/>
      <family val="2"/>
    </font>
    <font>
      <b/>
      <sz val="12"/>
      <color indexed="8"/>
      <name val="Arial"/>
      <family val="2"/>
    </font>
    <font>
      <sz val="11"/>
      <color indexed="8"/>
      <name val="Arial"/>
      <family val="2"/>
    </font>
    <font>
      <b/>
      <sz val="11"/>
      <color indexed="8"/>
      <name val="Arial"/>
      <family val="2"/>
    </font>
    <font>
      <sz val="12"/>
      <color indexed="8"/>
      <name val="Arial"/>
      <family val="2"/>
    </font>
    <font>
      <sz val="8"/>
      <name val="Tahoma"/>
      <family val="0"/>
    </font>
    <font>
      <b/>
      <sz val="8"/>
      <name val="Tahoma"/>
      <family val="0"/>
    </font>
    <font>
      <b/>
      <sz val="8"/>
      <color indexed="10"/>
      <name val="Tahoma"/>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Wingdings"/>
      <family val="0"/>
    </font>
    <font>
      <u val="single"/>
      <sz val="14"/>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3" fillId="0" borderId="0" applyNumberFormat="0" applyFill="0" applyBorder="0" applyAlignment="0" applyProtection="0"/>
    <xf numFmtId="0" fontId="40" fillId="20" borderId="1" applyNumberFormat="0" applyAlignment="0" applyProtection="0"/>
    <xf numFmtId="0" fontId="41" fillId="0" borderId="2" applyNumberFormat="0" applyFill="0" applyAlignment="0" applyProtection="0"/>
    <xf numFmtId="0" fontId="0" fillId="21" borderId="3" applyNumberFormat="0" applyFont="0" applyAlignment="0" applyProtection="0"/>
    <xf numFmtId="0" fontId="38" fillId="7" borderId="1" applyNumberFormat="0" applyAlignment="0" applyProtection="0"/>
    <xf numFmtId="0" fontId="36"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35" fillId="4" borderId="0" applyNumberFormat="0" applyBorder="0" applyAlignment="0" applyProtection="0"/>
    <xf numFmtId="0" fontId="39" fillId="20" borderId="4" applyNumberFormat="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5" fillId="0" borderId="8" applyNumberFormat="0" applyFill="0" applyAlignment="0" applyProtection="0"/>
    <xf numFmtId="0" fontId="42" fillId="23" borderId="9" applyNumberFormat="0" applyAlignment="0" applyProtection="0"/>
  </cellStyleXfs>
  <cellXfs count="285">
    <xf numFmtId="0" fontId="0" fillId="0" borderId="0" xfId="0" applyAlignment="1">
      <alignment/>
    </xf>
    <xf numFmtId="0" fontId="1" fillId="0" borderId="0" xfId="0" applyFont="1" applyAlignment="1" applyProtection="1">
      <alignment vertical="center" wrapText="1"/>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 fillId="0" borderId="0" xfId="0" applyFont="1" applyAlignment="1" applyProtection="1">
      <alignment/>
      <protection hidden="1" locked="0"/>
    </xf>
    <xf numFmtId="0" fontId="0" fillId="0" borderId="0" xfId="0" applyAlignment="1" applyProtection="1">
      <alignment/>
      <protection hidden="1" locked="0"/>
    </xf>
    <xf numFmtId="0" fontId="15" fillId="0" borderId="10" xfId="0" applyFont="1" applyBorder="1" applyAlignment="1" applyProtection="1">
      <alignment horizontal="left" vertical="center"/>
      <protection hidden="1"/>
    </xf>
    <xf numFmtId="0" fontId="15" fillId="0" borderId="11" xfId="0" applyFont="1" applyBorder="1" applyAlignment="1" applyProtection="1">
      <alignment horizontal="left" vertical="center"/>
      <protection hidden="1"/>
    </xf>
    <xf numFmtId="0" fontId="15" fillId="0" borderId="12" xfId="0" applyFont="1" applyBorder="1" applyAlignment="1" applyProtection="1">
      <alignment horizontal="centerContinuous" vertical="center"/>
      <protection hidden="1"/>
    </xf>
    <xf numFmtId="0" fontId="0" fillId="0" borderId="0" xfId="0"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hidden="1"/>
    </xf>
    <xf numFmtId="0" fontId="19" fillId="0" borderId="0" xfId="0" applyFont="1" applyAlignment="1" applyProtection="1">
      <alignment/>
      <protection hidden="1"/>
    </xf>
    <xf numFmtId="44" fontId="12" fillId="20" borderId="13"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horizontal="lef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8" fillId="0" borderId="14" xfId="0" applyFont="1" applyBorder="1" applyAlignment="1" applyProtection="1">
      <alignment/>
      <protection hidden="1"/>
    </xf>
    <xf numFmtId="0" fontId="8" fillId="0" borderId="15" xfId="0" applyFont="1" applyBorder="1" applyAlignment="1" applyProtection="1">
      <alignment/>
      <protection hidden="1"/>
    </xf>
    <xf numFmtId="0" fontId="8" fillId="0" borderId="16" xfId="0" applyFont="1" applyBorder="1" applyAlignment="1" applyProtection="1">
      <alignment/>
      <protection hidden="1"/>
    </xf>
    <xf numFmtId="169" fontId="22" fillId="0" borderId="11" xfId="0" applyNumberFormat="1" applyFont="1" applyBorder="1" applyAlignment="1" applyProtection="1">
      <alignment horizontal="center"/>
      <protection hidden="1"/>
    </xf>
    <xf numFmtId="169" fontId="22" fillId="0" borderId="12" xfId="0" applyNumberFormat="1" applyFont="1" applyBorder="1" applyAlignment="1" applyProtection="1">
      <alignment horizontal="center"/>
      <protection hidden="1"/>
    </xf>
    <xf numFmtId="0" fontId="22" fillId="0" borderId="0" xfId="0" applyFont="1" applyAlignment="1" applyProtection="1">
      <alignment horizontal="center"/>
      <protection locked="0"/>
    </xf>
    <xf numFmtId="171" fontId="22" fillId="0" borderId="0" xfId="0" applyNumberFormat="1" applyFont="1" applyAlignment="1" applyProtection="1">
      <alignment horizontal="center"/>
      <protection locked="0"/>
    </xf>
    <xf numFmtId="0" fontId="22" fillId="0" borderId="17" xfId="0" applyFont="1" applyBorder="1" applyAlignment="1" applyProtection="1">
      <alignment/>
      <protection hidden="1"/>
    </xf>
    <xf numFmtId="0" fontId="22" fillId="0" borderId="18" xfId="0" applyFont="1" applyBorder="1" applyAlignment="1" applyProtection="1">
      <alignment/>
      <protection hidden="1"/>
    </xf>
    <xf numFmtId="0" fontId="22" fillId="0" borderId="14" xfId="0" applyFont="1" applyBorder="1" applyAlignment="1" applyProtection="1">
      <alignment/>
      <protection hidden="1"/>
    </xf>
    <xf numFmtId="0" fontId="22" fillId="0" borderId="19" xfId="0" applyFont="1" applyBorder="1" applyAlignment="1" applyProtection="1">
      <alignment/>
      <protection hidden="1"/>
    </xf>
    <xf numFmtId="0" fontId="22" fillId="0" borderId="0" xfId="0" applyFont="1" applyBorder="1" applyAlignment="1" applyProtection="1">
      <alignment/>
      <protection hidden="1"/>
    </xf>
    <xf numFmtId="0" fontId="22" fillId="0" borderId="15" xfId="0" applyFont="1" applyBorder="1" applyAlignment="1" applyProtection="1">
      <alignment/>
      <protection hidden="1"/>
    </xf>
    <xf numFmtId="0" fontId="22" fillId="0" borderId="0" xfId="0" applyFont="1" applyFill="1" applyBorder="1" applyAlignment="1" applyProtection="1">
      <alignment/>
      <protection hidden="1"/>
    </xf>
    <xf numFmtId="0" fontId="22" fillId="0" borderId="20" xfId="0" applyFont="1" applyBorder="1" applyAlignment="1" applyProtection="1">
      <alignment/>
      <protection hidden="1"/>
    </xf>
    <xf numFmtId="0" fontId="22" fillId="0" borderId="21" xfId="0" applyFont="1" applyBorder="1" applyAlignment="1" applyProtection="1">
      <alignment/>
      <protection hidden="1"/>
    </xf>
    <xf numFmtId="0" fontId="22" fillId="0" borderId="16" xfId="0" applyFont="1" applyBorder="1" applyAlignment="1" applyProtection="1">
      <alignment/>
      <protection hidden="1"/>
    </xf>
    <xf numFmtId="0" fontId="22" fillId="0" borderId="0" xfId="0" applyFont="1" applyBorder="1" applyAlignment="1" applyProtection="1">
      <alignment horizontal="center"/>
      <protection hidden="1"/>
    </xf>
    <xf numFmtId="171" fontId="0" fillId="0" borderId="0" xfId="0" applyNumberFormat="1" applyAlignment="1" applyProtection="1">
      <alignment/>
      <protection locked="0"/>
    </xf>
    <xf numFmtId="0" fontId="0" fillId="0" borderId="1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0" xfId="0" applyAlignment="1" applyProtection="1">
      <alignment wrapText="1"/>
      <protection/>
    </xf>
    <xf numFmtId="0" fontId="0" fillId="0" borderId="22" xfId="0" applyBorder="1" applyAlignment="1" applyProtection="1">
      <alignment/>
      <protection hidden="1"/>
    </xf>
    <xf numFmtId="0" fontId="0" fillId="0" borderId="0" xfId="0" applyBorder="1" applyAlignment="1" applyProtection="1">
      <alignment horizontal="center" vertical="center"/>
      <protection hidden="1"/>
    </xf>
    <xf numFmtId="0" fontId="0" fillId="0" borderId="23" xfId="0" applyBorder="1" applyAlignment="1" applyProtection="1">
      <alignment/>
      <protection hidden="1"/>
    </xf>
    <xf numFmtId="0" fontId="22" fillId="0" borderId="0" xfId="0" applyFont="1" applyAlignment="1" applyProtection="1">
      <alignment/>
      <protection hidden="1"/>
    </xf>
    <xf numFmtId="0" fontId="5" fillId="0" borderId="0" xfId="0" applyFont="1" applyAlignment="1" applyProtection="1">
      <alignment/>
      <protection hidden="1"/>
    </xf>
    <xf numFmtId="0" fontId="0" fillId="0" borderId="0" xfId="0" applyAlignment="1" applyProtection="1">
      <alignment horizontal="righ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1" fillId="0" borderId="0" xfId="0" applyFont="1" applyAlignment="1" applyProtection="1">
      <alignment/>
      <protection hidden="1"/>
    </xf>
    <xf numFmtId="0" fontId="0" fillId="0" borderId="17" xfId="0" applyBorder="1" applyAlignment="1" applyProtection="1">
      <alignment/>
      <protection hidden="1"/>
    </xf>
    <xf numFmtId="0" fontId="0" fillId="0" borderId="14" xfId="0" applyBorder="1" applyAlignment="1" applyProtection="1">
      <alignment/>
      <protection hidden="1"/>
    </xf>
    <xf numFmtId="0" fontId="8" fillId="0" borderId="11" xfId="0" applyFont="1" applyBorder="1" applyAlignment="1" applyProtection="1">
      <alignment horizontal="center"/>
      <protection hidden="1"/>
    </xf>
    <xf numFmtId="0" fontId="0" fillId="0" borderId="18"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right"/>
      <protection hidden="1"/>
    </xf>
    <xf numFmtId="0" fontId="0" fillId="0" borderId="0" xfId="0" applyBorder="1" applyAlignment="1" applyProtection="1">
      <alignment horizontal="left"/>
      <protection hidden="1"/>
    </xf>
    <xf numFmtId="169" fontId="22" fillId="0" borderId="18" xfId="0" applyNumberFormat="1" applyFont="1" applyBorder="1" applyAlignment="1" applyProtection="1">
      <alignment horizontal="center"/>
      <protection hidden="1"/>
    </xf>
    <xf numFmtId="169" fontId="22" fillId="0" borderId="14" xfId="0" applyNumberFormat="1" applyFont="1" applyBorder="1" applyAlignment="1" applyProtection="1">
      <alignment horizontal="center"/>
      <protection hidden="1"/>
    </xf>
    <xf numFmtId="0" fontId="0" fillId="0" borderId="20" xfId="0" applyBorder="1" applyAlignment="1" applyProtection="1">
      <alignment/>
      <protection hidden="1"/>
    </xf>
    <xf numFmtId="169" fontId="22" fillId="0" borderId="21" xfId="0" applyNumberFormat="1" applyFont="1" applyBorder="1" applyAlignment="1" applyProtection="1">
      <alignment horizontal="center"/>
      <protection hidden="1"/>
    </xf>
    <xf numFmtId="169" fontId="22" fillId="0" borderId="16" xfId="0" applyNumberFormat="1" applyFont="1" applyBorder="1" applyAlignment="1" applyProtection="1">
      <alignment horizontal="center"/>
      <protection hidden="1"/>
    </xf>
    <xf numFmtId="0" fontId="0" fillId="0" borderId="0" xfId="0" applyFill="1" applyBorder="1" applyAlignment="1" applyProtection="1">
      <alignment/>
      <protection hidden="1"/>
    </xf>
    <xf numFmtId="0" fontId="15" fillId="0" borderId="12"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15" fillId="0" borderId="21" xfId="0" applyFont="1" applyBorder="1" applyAlignment="1" applyProtection="1">
      <alignment horizontal="centerContinuous" vertical="center"/>
      <protection hidden="1"/>
    </xf>
    <xf numFmtId="0" fontId="12" fillId="0" borderId="16" xfId="0" applyFont="1" applyBorder="1" applyAlignment="1" applyProtection="1">
      <alignment horizontal="centerContinuous" vertical="center"/>
      <protection hidden="1"/>
    </xf>
    <xf numFmtId="0" fontId="15" fillId="0" borderId="0" xfId="0" applyFont="1" applyBorder="1" applyAlignment="1" applyProtection="1">
      <alignment horizontal="left" vertical="center"/>
      <protection hidden="1"/>
    </xf>
    <xf numFmtId="0" fontId="10" fillId="0" borderId="24" xfId="0" applyFont="1" applyFill="1" applyBorder="1" applyAlignment="1" applyProtection="1">
      <alignment horizontal="center"/>
      <protection hidden="1"/>
    </xf>
    <xf numFmtId="0" fontId="11" fillId="0" borderId="0" xfId="0" applyFont="1" applyAlignment="1" applyProtection="1">
      <alignment/>
      <protection hidden="1"/>
    </xf>
    <xf numFmtId="167" fontId="11" fillId="0" borderId="0" xfId="0" applyNumberFormat="1" applyFont="1" applyAlignment="1" applyProtection="1">
      <alignment/>
      <protection hidden="1"/>
    </xf>
    <xf numFmtId="0" fontId="11" fillId="0" borderId="25" xfId="0" applyFont="1" applyFill="1" applyBorder="1" applyAlignment="1" applyProtection="1">
      <alignment horizontal="center"/>
      <protection hidden="1"/>
    </xf>
    <xf numFmtId="0" fontId="12" fillId="0" borderId="26" xfId="0" applyFont="1" applyBorder="1" applyAlignment="1" applyProtection="1">
      <alignment horizontal="center" wrapText="1"/>
      <protection hidden="1"/>
    </xf>
    <xf numFmtId="0" fontId="12" fillId="0" borderId="27" xfId="0" applyFont="1" applyBorder="1" applyAlignment="1" applyProtection="1">
      <alignment horizontal="center" wrapText="1"/>
      <protection hidden="1"/>
    </xf>
    <xf numFmtId="0" fontId="12" fillId="0" borderId="25" xfId="0" applyFont="1" applyBorder="1" applyAlignment="1" applyProtection="1">
      <alignment horizontal="center" wrapText="1"/>
      <protection hidden="1"/>
    </xf>
    <xf numFmtId="0" fontId="12" fillId="0" borderId="26" xfId="0" applyFont="1" applyBorder="1" applyAlignment="1" applyProtection="1">
      <alignment horizontal="center"/>
      <protection hidden="1"/>
    </xf>
    <xf numFmtId="0" fontId="12" fillId="0" borderId="15" xfId="0" applyFont="1" applyBorder="1" applyAlignment="1" applyProtection="1">
      <alignment horizontal="center" wrapText="1"/>
      <protection hidden="1"/>
    </xf>
    <xf numFmtId="0" fontId="0" fillId="0" borderId="0" xfId="0" applyFont="1" applyAlignment="1" applyProtection="1">
      <alignment/>
      <protection hidden="1"/>
    </xf>
    <xf numFmtId="0" fontId="12" fillId="0" borderId="13" xfId="0" applyFont="1" applyBorder="1" applyAlignment="1" applyProtection="1">
      <alignment horizontal="left"/>
      <protection hidden="1"/>
    </xf>
    <xf numFmtId="167" fontId="24" fillId="0" borderId="13" xfId="0" applyNumberFormat="1" applyFont="1" applyBorder="1" applyAlignment="1" applyProtection="1">
      <alignment horizontal="center"/>
      <protection hidden="1"/>
    </xf>
    <xf numFmtId="44" fontId="21" fillId="0" borderId="13" xfId="0" applyNumberFormat="1" applyFont="1" applyFill="1" applyBorder="1" applyAlignment="1" applyProtection="1">
      <alignment horizontal="center"/>
      <protection hidden="1"/>
    </xf>
    <xf numFmtId="0" fontId="18" fillId="0" borderId="0" xfId="0" applyFont="1" applyAlignment="1" applyProtection="1">
      <alignment/>
      <protection hidden="1"/>
    </xf>
    <xf numFmtId="167" fontId="0" fillId="0" borderId="0" xfId="0" applyNumberFormat="1" applyAlignment="1" applyProtection="1">
      <alignment/>
      <protection hidden="1"/>
    </xf>
    <xf numFmtId="0" fontId="12" fillId="0" borderId="13" xfId="0" applyFont="1" applyFill="1" applyBorder="1" applyAlignment="1" applyProtection="1">
      <alignment horizontal="left"/>
      <protection hidden="1"/>
    </xf>
    <xf numFmtId="0" fontId="7" fillId="0" borderId="0" xfId="0" applyFont="1" applyAlignment="1" applyProtection="1">
      <alignment/>
      <protection hidden="1"/>
    </xf>
    <xf numFmtId="167" fontId="7" fillId="0" borderId="0" xfId="0" applyNumberFormat="1" applyFont="1" applyAlignment="1" applyProtection="1">
      <alignment/>
      <protection hidden="1"/>
    </xf>
    <xf numFmtId="167" fontId="25" fillId="0" borderId="13" xfId="0" applyNumberFormat="1" applyFont="1" applyBorder="1" applyAlignment="1" applyProtection="1">
      <alignment horizontal="center"/>
      <protection hidden="1"/>
    </xf>
    <xf numFmtId="173" fontId="24" fillId="0" borderId="13" xfId="0" applyNumberFormat="1" applyFont="1" applyBorder="1" applyAlignment="1" applyProtection="1">
      <alignment horizontal="center"/>
      <protection hidden="1"/>
    </xf>
    <xf numFmtId="167" fontId="7" fillId="0" borderId="28" xfId="0" applyNumberFormat="1" applyFont="1" applyBorder="1" applyAlignment="1" applyProtection="1">
      <alignment/>
      <protection hidden="1"/>
    </xf>
    <xf numFmtId="167" fontId="21" fillId="23" borderId="29" xfId="0" applyNumberFormat="1" applyFont="1" applyFill="1" applyBorder="1" applyAlignment="1" applyProtection="1">
      <alignment horizontal="center"/>
      <protection hidden="1"/>
    </xf>
    <xf numFmtId="167" fontId="21" fillId="23" borderId="28" xfId="0" applyNumberFormat="1" applyFont="1" applyFill="1" applyBorder="1" applyAlignment="1" applyProtection="1">
      <alignment horizontal="center"/>
      <protection hidden="1"/>
    </xf>
    <xf numFmtId="0" fontId="13" fillId="23" borderId="28" xfId="0" applyFont="1" applyFill="1" applyBorder="1" applyAlignment="1" applyProtection="1">
      <alignment horizontal="center"/>
      <protection hidden="1"/>
    </xf>
    <xf numFmtId="168" fontId="13" fillId="0" borderId="30" xfId="0" applyNumberFormat="1" applyFont="1" applyBorder="1" applyAlignment="1" applyProtection="1">
      <alignment horizontal="center"/>
      <protection hidden="1"/>
    </xf>
    <xf numFmtId="0" fontId="0" fillId="0" borderId="0" xfId="0" applyFont="1" applyBorder="1" applyAlignment="1" applyProtection="1">
      <alignment/>
      <protection hidden="1"/>
    </xf>
    <xf numFmtId="167" fontId="0" fillId="0" borderId="0" xfId="0" applyNumberFormat="1" applyFont="1" applyBorder="1" applyAlignment="1" applyProtection="1">
      <alignment horizontal="center"/>
      <protection hidden="1"/>
    </xf>
    <xf numFmtId="0" fontId="0" fillId="0" borderId="0" xfId="0" applyFont="1" applyBorder="1" applyAlignment="1" applyProtection="1">
      <alignment horizontal="center"/>
      <protection hidden="1"/>
    </xf>
    <xf numFmtId="168" fontId="13" fillId="0" borderId="0" xfId="0" applyNumberFormat="1" applyFont="1" applyBorder="1" applyAlignment="1" applyProtection="1">
      <alignment horizontal="center"/>
      <protection hidden="1"/>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vertical="top" wrapText="1"/>
      <protection locked="0"/>
    </xf>
    <xf numFmtId="0" fontId="22" fillId="0" borderId="0" xfId="0" applyFont="1" applyAlignment="1" applyProtection="1">
      <alignment horizontal="center"/>
      <protection hidden="1"/>
    </xf>
    <xf numFmtId="0" fontId="19" fillId="0" borderId="31" xfId="0" applyFont="1" applyBorder="1" applyAlignment="1">
      <alignment wrapText="1"/>
    </xf>
    <xf numFmtId="0" fontId="19" fillId="0" borderId="32" xfId="0" applyFont="1" applyBorder="1" applyAlignment="1">
      <alignment wrapText="1"/>
    </xf>
    <xf numFmtId="0" fontId="12" fillId="0" borderId="13" xfId="0" applyFont="1" applyBorder="1" applyAlignment="1" applyProtection="1">
      <alignment horizontal="left"/>
      <protection locked="0"/>
    </xf>
    <xf numFmtId="167" fontId="24" fillId="0" borderId="13" xfId="0" applyNumberFormat="1" applyFont="1" applyBorder="1" applyAlignment="1" applyProtection="1">
      <alignment horizontal="center"/>
      <protection locked="0"/>
    </xf>
    <xf numFmtId="44" fontId="21" fillId="0" borderId="13" xfId="0" applyNumberFormat="1" applyFont="1" applyFill="1" applyBorder="1" applyAlignment="1" applyProtection="1">
      <alignment horizontal="center"/>
      <protection locked="0"/>
    </xf>
    <xf numFmtId="0" fontId="1" fillId="0" borderId="0" xfId="0" applyFont="1" applyAlignment="1" applyProtection="1">
      <alignment wrapText="1"/>
      <protection/>
    </xf>
    <xf numFmtId="0" fontId="22" fillId="0" borderId="11" xfId="0" applyFont="1" applyBorder="1" applyAlignment="1" applyProtection="1">
      <alignment horizontal="center"/>
      <protection hidden="1"/>
    </xf>
    <xf numFmtId="0" fontId="22" fillId="0" borderId="12" xfId="0" applyFont="1" applyBorder="1" applyAlignment="1" applyProtection="1">
      <alignment horizontal="center"/>
      <protection hidden="1"/>
    </xf>
    <xf numFmtId="0" fontId="0" fillId="0" borderId="10" xfId="0" applyBorder="1" applyAlignment="1" applyProtection="1">
      <alignment horizontal="right"/>
      <protection locked="0"/>
    </xf>
    <xf numFmtId="0" fontId="0" fillId="0" borderId="33" xfId="0" applyBorder="1" applyAlignment="1" applyProtection="1">
      <alignment/>
      <protection hidden="1"/>
    </xf>
    <xf numFmtId="0" fontId="1" fillId="0" borderId="33" xfId="0" applyFont="1" applyBorder="1" applyAlignment="1" applyProtection="1">
      <alignment/>
      <protection hidden="1"/>
    </xf>
    <xf numFmtId="0" fontId="0" fillId="0" borderId="34" xfId="0" applyBorder="1" applyAlignment="1" applyProtection="1">
      <alignment/>
      <protection hidden="1"/>
    </xf>
    <xf numFmtId="0" fontId="1" fillId="0" borderId="35" xfId="0" applyFont="1" applyBorder="1" applyAlignment="1" applyProtection="1">
      <alignment/>
      <protection hidden="1"/>
    </xf>
    <xf numFmtId="0" fontId="1" fillId="0" borderId="25" xfId="0" applyFont="1" applyBorder="1" applyAlignment="1" applyProtection="1">
      <alignment/>
      <protection hidden="1"/>
    </xf>
    <xf numFmtId="0" fontId="0" fillId="0" borderId="27" xfId="0" applyBorder="1" applyAlignment="1" applyProtection="1">
      <alignment/>
      <protection hidden="1"/>
    </xf>
    <xf numFmtId="0" fontId="1" fillId="0" borderId="27" xfId="0" applyFont="1" applyBorder="1" applyAlignment="1" applyProtection="1">
      <alignment/>
      <protection hidden="1"/>
    </xf>
    <xf numFmtId="0" fontId="0" fillId="0" borderId="36" xfId="0" applyBorder="1" applyAlignment="1" applyProtection="1">
      <alignment/>
      <protection hidden="1"/>
    </xf>
    <xf numFmtId="0" fontId="1" fillId="0" borderId="0" xfId="0" applyFont="1" applyBorder="1" applyAlignment="1" applyProtection="1">
      <alignment/>
      <protection hidden="1"/>
    </xf>
    <xf numFmtId="0" fontId="1" fillId="0" borderId="26" xfId="0" applyFont="1" applyBorder="1" applyAlignment="1" applyProtection="1">
      <alignment/>
      <protection hidden="1"/>
    </xf>
    <xf numFmtId="0" fontId="0" fillId="0" borderId="29" xfId="0" applyBorder="1" applyAlignment="1" applyProtection="1">
      <alignment/>
      <protection hidden="1"/>
    </xf>
    <xf numFmtId="0" fontId="1" fillId="0" borderId="29" xfId="0" applyFont="1" applyBorder="1" applyAlignment="1" applyProtection="1">
      <alignment/>
      <protection hidden="1"/>
    </xf>
    <xf numFmtId="0" fontId="1" fillId="0" borderId="37" xfId="0" applyFont="1" applyBorder="1" applyAlignment="1" applyProtection="1">
      <alignment/>
      <protection hidden="1"/>
    </xf>
    <xf numFmtId="0" fontId="1" fillId="0" borderId="24" xfId="0" applyFont="1" applyBorder="1" applyAlignment="1" applyProtection="1">
      <alignment/>
      <protection hidden="1"/>
    </xf>
    <xf numFmtId="0" fontId="0" fillId="0" borderId="0" xfId="0" applyAlignment="1" applyProtection="1">
      <alignment/>
      <protection hidden="1"/>
    </xf>
    <xf numFmtId="0" fontId="1" fillId="0" borderId="0" xfId="0" applyFont="1" applyAlignment="1" applyProtection="1">
      <alignment/>
      <protection hidden="1"/>
    </xf>
    <xf numFmtId="0" fontId="1" fillId="0" borderId="28" xfId="0" applyFont="1" applyBorder="1" applyAlignment="1" applyProtection="1">
      <alignment/>
      <protection hidden="1"/>
    </xf>
    <xf numFmtId="0" fontId="30" fillId="0" borderId="0" xfId="0" applyFont="1" applyAlignment="1" applyProtection="1">
      <alignment/>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0" fillId="0" borderId="11" xfId="0" applyBorder="1" applyAlignment="1" applyProtection="1">
      <alignment horizontal="center"/>
      <protection hidden="1"/>
    </xf>
    <xf numFmtId="0" fontId="0" fillId="0" borderId="17" xfId="0" applyBorder="1" applyAlignment="1" applyProtection="1">
      <alignment horizontal="right"/>
      <protection hidden="1"/>
    </xf>
    <xf numFmtId="0" fontId="0" fillId="0" borderId="21" xfId="0" applyBorder="1" applyAlignment="1" applyProtection="1">
      <alignment/>
      <protection hidden="1"/>
    </xf>
    <xf numFmtId="0" fontId="0" fillId="0" borderId="35" xfId="0" applyBorder="1" applyAlignment="1" applyProtection="1">
      <alignment/>
      <protection hidden="1"/>
    </xf>
    <xf numFmtId="0" fontId="0" fillId="0" borderId="37" xfId="0" applyBorder="1" applyAlignment="1" applyProtection="1">
      <alignment/>
      <protection hidden="1"/>
    </xf>
    <xf numFmtId="0" fontId="1" fillId="0" borderId="0" xfId="0" applyFont="1" applyBorder="1" applyAlignment="1" applyProtection="1">
      <alignment/>
      <protection hidden="1" locked="0"/>
    </xf>
    <xf numFmtId="0" fontId="0" fillId="0" borderId="0" xfId="0" applyBorder="1" applyAlignment="1" applyProtection="1">
      <alignment/>
      <protection hidden="1" locked="0"/>
    </xf>
    <xf numFmtId="0" fontId="0" fillId="0" borderId="30" xfId="0" applyBorder="1" applyAlignment="1" applyProtection="1">
      <alignment/>
      <protection hidden="1" locked="0"/>
    </xf>
    <xf numFmtId="0" fontId="0" fillId="0" borderId="11" xfId="0" applyBorder="1" applyAlignment="1" applyProtection="1">
      <alignment horizontal="left"/>
      <protection hidden="1"/>
    </xf>
    <xf numFmtId="0" fontId="26" fillId="0" borderId="0" xfId="0" applyFont="1" applyAlignment="1" applyProtection="1">
      <alignment horizontal="center"/>
      <protection hidden="1"/>
    </xf>
    <xf numFmtId="0" fontId="0" fillId="0" borderId="24" xfId="0" applyBorder="1" applyAlignment="1" applyProtection="1">
      <alignment/>
      <protection locked="0"/>
    </xf>
    <xf numFmtId="0" fontId="1" fillId="0" borderId="28" xfId="0" applyFont="1" applyBorder="1" applyAlignment="1" applyProtection="1">
      <alignment/>
      <protection locked="0"/>
    </xf>
    <xf numFmtId="0" fontId="1" fillId="0" borderId="24" xfId="0" applyFont="1" applyBorder="1" applyAlignment="1" applyProtection="1">
      <alignment/>
      <protection locked="0"/>
    </xf>
    <xf numFmtId="171" fontId="22" fillId="0" borderId="0" xfId="0" applyNumberFormat="1" applyFont="1" applyAlignment="1" applyProtection="1">
      <alignment horizontal="center"/>
      <protection hidden="1"/>
    </xf>
    <xf numFmtId="0" fontId="0" fillId="0" borderId="10" xfId="0" applyBorder="1" applyAlignment="1" applyProtection="1">
      <alignment horizontal="right"/>
      <protection hidden="1"/>
    </xf>
    <xf numFmtId="171" fontId="0" fillId="0" borderId="0" xfId="0" applyNumberFormat="1" applyAlignment="1" applyProtection="1">
      <alignment/>
      <protection hidden="1"/>
    </xf>
    <xf numFmtId="0" fontId="0" fillId="0" borderId="19" xfId="0" applyBorder="1" applyAlignment="1" applyProtection="1">
      <alignment/>
      <protection hidden="1"/>
    </xf>
    <xf numFmtId="0" fontId="0" fillId="0" borderId="15" xfId="0" applyBorder="1" applyAlignment="1" applyProtection="1">
      <alignment/>
      <protection hidden="1"/>
    </xf>
    <xf numFmtId="0" fontId="0" fillId="0" borderId="21" xfId="0" applyBorder="1" applyAlignment="1" applyProtection="1">
      <alignment horizontal="left"/>
      <protection hidden="1"/>
    </xf>
    <xf numFmtId="0" fontId="0" fillId="0" borderId="16" xfId="0" applyBorder="1" applyAlignment="1" applyProtection="1">
      <alignment horizontal="left"/>
      <protection hidden="1"/>
    </xf>
    <xf numFmtId="0" fontId="0" fillId="0" borderId="18" xfId="0" applyBorder="1" applyAlignment="1" applyProtection="1">
      <alignment horizontal="left"/>
      <protection hidden="1"/>
    </xf>
    <xf numFmtId="0" fontId="0" fillId="0" borderId="14" xfId="0" applyBorder="1" applyAlignment="1" applyProtection="1">
      <alignment horizontal="left"/>
      <protection hidden="1"/>
    </xf>
    <xf numFmtId="0" fontId="12" fillId="0" borderId="16" xfId="0" applyFont="1" applyBorder="1" applyAlignment="1" applyProtection="1">
      <alignment horizontal="center" vertical="center"/>
      <protection hidden="1"/>
    </xf>
    <xf numFmtId="0" fontId="12" fillId="0" borderId="11" xfId="0" applyFont="1" applyBorder="1" applyAlignment="1" applyProtection="1">
      <alignment horizontal="right" vertical="center"/>
      <protection hidden="1"/>
    </xf>
    <xf numFmtId="0" fontId="0" fillId="0" borderId="24" xfId="0" applyBorder="1" applyAlignment="1" applyProtection="1">
      <alignment/>
      <protection locked="0"/>
    </xf>
    <xf numFmtId="0" fontId="1" fillId="0" borderId="21" xfId="0" applyFont="1" applyBorder="1" applyAlignment="1" applyProtection="1">
      <alignment/>
      <protection hidden="1"/>
    </xf>
    <xf numFmtId="0" fontId="1" fillId="0" borderId="18" xfId="0" applyFont="1" applyBorder="1" applyAlignment="1" applyProtection="1">
      <alignment/>
      <protection hidden="1"/>
    </xf>
    <xf numFmtId="167" fontId="22" fillId="0" borderId="11" xfId="0" applyNumberFormat="1" applyFont="1" applyBorder="1" applyAlignment="1" applyProtection="1">
      <alignment horizontal="center"/>
      <protection hidden="1"/>
    </xf>
    <xf numFmtId="167" fontId="22" fillId="0" borderId="18" xfId="0" applyNumberFormat="1" applyFont="1" applyBorder="1" applyAlignment="1" applyProtection="1">
      <alignment horizontal="center"/>
      <protection hidden="1"/>
    </xf>
    <xf numFmtId="167" fontId="22" fillId="0" borderId="21" xfId="0" applyNumberFormat="1" applyFont="1" applyBorder="1" applyAlignment="1" applyProtection="1">
      <alignment horizontal="center"/>
      <protection hidden="1"/>
    </xf>
    <xf numFmtId="0" fontId="12" fillId="0" borderId="21" xfId="0" applyFont="1" applyBorder="1" applyAlignment="1" applyProtection="1">
      <alignment horizontal="center" vertical="center"/>
      <protection hidden="1"/>
    </xf>
    <xf numFmtId="0" fontId="12" fillId="0" borderId="20" xfId="0" applyFont="1" applyBorder="1" applyAlignment="1" applyProtection="1">
      <alignment horizontal="right" vertical="center"/>
      <protection hidden="1"/>
    </xf>
    <xf numFmtId="0" fontId="15" fillId="0" borderId="16" xfId="0" applyFont="1" applyBorder="1" applyAlignment="1" applyProtection="1">
      <alignment horizontal="left" vertical="center"/>
      <protection locked="0"/>
    </xf>
    <xf numFmtId="0" fontId="12" fillId="0" borderId="21" xfId="0" applyFont="1" applyBorder="1" applyAlignment="1" applyProtection="1">
      <alignment horizontal="right" vertical="center"/>
      <protection hidden="1"/>
    </xf>
    <xf numFmtId="0" fontId="12" fillId="0" borderId="20" xfId="0" applyFont="1" applyBorder="1" applyAlignment="1" applyProtection="1">
      <alignment horizontal="center" vertical="center"/>
      <protection hidden="1"/>
    </xf>
    <xf numFmtId="0" fontId="15" fillId="0" borderId="21" xfId="0" applyFont="1" applyBorder="1" applyAlignment="1" applyProtection="1">
      <alignment horizontal="left" vertical="center"/>
      <protection locked="0"/>
    </xf>
    <xf numFmtId="0" fontId="19" fillId="0" borderId="0" xfId="0" applyFont="1" applyAlignment="1" applyProtection="1">
      <alignment/>
      <protection locked="0"/>
    </xf>
    <xf numFmtId="0" fontId="48" fillId="0" borderId="0" xfId="0" applyFont="1" applyAlignment="1" applyProtection="1">
      <alignment horizontal="right"/>
      <protection locked="0"/>
    </xf>
    <xf numFmtId="0" fontId="11" fillId="0" borderId="0" xfId="0" applyFont="1" applyBorder="1" applyAlignment="1" applyProtection="1">
      <alignment horizontal="center"/>
      <protection locked="0"/>
    </xf>
    <xf numFmtId="0" fontId="7" fillId="0" borderId="0" xfId="0" applyFont="1" applyAlignment="1" applyProtection="1">
      <alignment horizontal="centerContinuous"/>
      <protection locked="0"/>
    </xf>
    <xf numFmtId="0" fontId="7" fillId="0" borderId="0" xfId="0" applyFont="1" applyAlignment="1" applyProtection="1">
      <alignment/>
      <protection locked="0"/>
    </xf>
    <xf numFmtId="0" fontId="49" fillId="0" borderId="0" xfId="0" applyFont="1" applyAlignment="1" applyProtection="1">
      <alignment/>
      <protection locked="0"/>
    </xf>
    <xf numFmtId="0" fontId="7" fillId="0" borderId="12"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22"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22" fillId="0" borderId="10" xfId="0" applyFont="1" applyBorder="1" applyAlignment="1" applyProtection="1">
      <alignment horizontal="center"/>
      <protection hidden="1"/>
    </xf>
    <xf numFmtId="0" fontId="22" fillId="0" borderId="11"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horizontal="left" vertical="top" wrapText="1"/>
      <protection hidden="1"/>
    </xf>
    <xf numFmtId="0" fontId="0" fillId="0" borderId="0" xfId="0" applyAlignment="1" applyProtection="1">
      <alignment horizontal="left"/>
      <protection locked="0"/>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22" fillId="0" borderId="0" xfId="0" applyFont="1" applyAlignment="1" applyProtection="1">
      <alignment horizontal="center"/>
      <protection locked="0"/>
    </xf>
    <xf numFmtId="0" fontId="0" fillId="0" borderId="13"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4" xfId="0" applyBorder="1" applyAlignment="1" applyProtection="1">
      <alignment horizontal="center"/>
      <protection hidden="1"/>
    </xf>
    <xf numFmtId="171" fontId="0" fillId="0" borderId="13" xfId="0" applyNumberFormat="1" applyBorder="1" applyAlignment="1" applyProtection="1">
      <alignment horizontal="center"/>
      <protection hidden="1"/>
    </xf>
    <xf numFmtId="0" fontId="0" fillId="0" borderId="11" xfId="0" applyBorder="1" applyAlignment="1" applyProtection="1">
      <alignment horizontal="center"/>
      <protection hidden="1"/>
    </xf>
    <xf numFmtId="0" fontId="0" fillId="0" borderId="10" xfId="0" applyBorder="1" applyAlignment="1" applyProtection="1">
      <alignment horizontal="right"/>
      <protection hidden="1"/>
    </xf>
    <xf numFmtId="0" fontId="0" fillId="0" borderId="11" xfId="0" applyBorder="1" applyAlignment="1" applyProtection="1">
      <alignment horizontal="right"/>
      <protection hidden="1"/>
    </xf>
    <xf numFmtId="0" fontId="22" fillId="0" borderId="12" xfId="0" applyFont="1" applyBorder="1" applyAlignment="1" applyProtection="1">
      <alignment horizontal="center"/>
      <protection hidden="1"/>
    </xf>
    <xf numFmtId="0" fontId="0" fillId="0" borderId="18" xfId="0" applyBorder="1" applyAlignment="1" applyProtection="1" quotePrefix="1">
      <alignment horizontal="center"/>
      <protection locked="0"/>
    </xf>
    <xf numFmtId="0" fontId="0" fillId="0" borderId="18" xfId="0" applyBorder="1" applyAlignment="1" applyProtection="1">
      <alignment horizontal="center"/>
      <protection locked="0"/>
    </xf>
    <xf numFmtId="170" fontId="22" fillId="0" borderId="10" xfId="0" applyNumberFormat="1" applyFont="1" applyBorder="1" applyAlignment="1" applyProtection="1">
      <alignment horizontal="center"/>
      <protection hidden="1"/>
    </xf>
    <xf numFmtId="170" fontId="22" fillId="0" borderId="11" xfId="0" applyNumberFormat="1" applyFont="1" applyBorder="1" applyAlignment="1" applyProtection="1">
      <alignment horizontal="center"/>
      <protection hidden="1"/>
    </xf>
    <xf numFmtId="170" fontId="22" fillId="0" borderId="12" xfId="0" applyNumberFormat="1" applyFont="1" applyBorder="1" applyAlignment="1" applyProtection="1">
      <alignment horizontal="center"/>
      <protection hidden="1"/>
    </xf>
    <xf numFmtId="0" fontId="6" fillId="0" borderId="17" xfId="0" applyFont="1" applyBorder="1" applyAlignment="1" applyProtection="1">
      <alignment horizontal="right" vertical="center"/>
      <protection hidden="1"/>
    </xf>
    <xf numFmtId="0" fontId="0" fillId="0" borderId="18" xfId="0" applyBorder="1" applyAlignment="1" applyProtection="1">
      <alignment horizontal="right"/>
      <protection hidden="1"/>
    </xf>
    <xf numFmtId="0" fontId="0" fillId="0" borderId="20" xfId="0" applyBorder="1" applyAlignment="1" applyProtection="1">
      <alignment horizontal="right"/>
      <protection hidden="1"/>
    </xf>
    <xf numFmtId="0" fontId="0" fillId="0" borderId="21" xfId="0" applyBorder="1" applyAlignment="1" applyProtection="1">
      <alignment horizontal="right"/>
      <protection hidden="1"/>
    </xf>
    <xf numFmtId="0" fontId="23" fillId="0" borderId="18" xfId="0" applyFont="1" applyBorder="1" applyAlignment="1" applyProtection="1">
      <alignment horizontal="center"/>
      <protection locked="0"/>
    </xf>
    <xf numFmtId="0" fontId="6" fillId="0" borderId="14"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23" fillId="0" borderId="21" xfId="0" applyFont="1" applyBorder="1" applyAlignment="1" applyProtection="1">
      <alignment horizontal="center"/>
      <protection locked="0"/>
    </xf>
    <xf numFmtId="0" fontId="17" fillId="0" borderId="17" xfId="0" applyFont="1" applyBorder="1" applyAlignment="1" applyProtection="1">
      <alignment horizontal="right" vertical="center"/>
      <protection hidden="1"/>
    </xf>
    <xf numFmtId="0" fontId="17" fillId="0" borderId="18" xfId="0" applyFont="1" applyBorder="1" applyAlignment="1" applyProtection="1">
      <alignment horizontal="right" vertical="center"/>
      <protection hidden="1"/>
    </xf>
    <xf numFmtId="0" fontId="17" fillId="0" borderId="20" xfId="0" applyFont="1" applyBorder="1" applyAlignment="1" applyProtection="1">
      <alignment horizontal="right" vertical="center"/>
      <protection hidden="1"/>
    </xf>
    <xf numFmtId="0" fontId="17" fillId="0" borderId="21" xfId="0" applyFont="1" applyBorder="1" applyAlignment="1" applyProtection="1">
      <alignment horizontal="right" vertical="center"/>
      <protection hidden="1"/>
    </xf>
    <xf numFmtId="0" fontId="15" fillId="0" borderId="20" xfId="0" applyFont="1" applyBorder="1" applyAlignment="1" applyProtection="1">
      <alignment horizontal="center"/>
      <protection hidden="1"/>
    </xf>
    <xf numFmtId="0" fontId="15" fillId="0" borderId="21" xfId="0" applyFont="1" applyBorder="1" applyAlignment="1" applyProtection="1">
      <alignment horizontal="center"/>
      <protection hidden="1"/>
    </xf>
    <xf numFmtId="0" fontId="15" fillId="0" borderId="16" xfId="0" applyFont="1" applyBorder="1" applyAlignment="1" applyProtection="1">
      <alignment horizontal="center"/>
      <protection hidden="1"/>
    </xf>
    <xf numFmtId="0" fontId="14" fillId="0" borderId="21" xfId="0" applyNumberFormat="1" applyFont="1" applyBorder="1" applyAlignment="1" applyProtection="1">
      <alignment horizontal="center" vertical="center"/>
      <protection locked="0"/>
    </xf>
    <xf numFmtId="0" fontId="16" fillId="0" borderId="17" xfId="0" applyFont="1" applyBorder="1" applyAlignment="1" applyProtection="1">
      <alignment horizontal="center"/>
      <protection hidden="1"/>
    </xf>
    <xf numFmtId="0" fontId="16" fillId="0" borderId="18"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0" fillId="0" borderId="1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7" fillId="0" borderId="14"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0" fillId="0" borderId="21" xfId="0" applyBorder="1" applyAlignment="1" applyProtection="1">
      <alignment horizontal="left"/>
      <protection locked="0"/>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4" xfId="0" applyBorder="1" applyAlignment="1" applyProtection="1">
      <alignment horizontal="left"/>
      <protection locked="0"/>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16" xfId="0" applyBorder="1" applyAlignment="1" applyProtection="1">
      <alignment horizontal="center"/>
      <protection hidden="1"/>
    </xf>
    <xf numFmtId="171" fontId="22" fillId="0" borderId="11" xfId="0" applyNumberFormat="1" applyFont="1" applyBorder="1" applyAlignment="1" applyProtection="1">
      <alignment horizontal="center"/>
      <protection hidden="1"/>
    </xf>
    <xf numFmtId="171" fontId="22" fillId="0" borderId="12" xfId="0" applyNumberFormat="1" applyFont="1" applyBorder="1" applyAlignment="1" applyProtection="1">
      <alignment horizontal="center"/>
      <protection hidden="1"/>
    </xf>
    <xf numFmtId="0" fontId="8" fillId="0" borderId="0" xfId="0" applyFont="1" applyBorder="1" applyAlignment="1" applyProtection="1">
      <alignment horizontal="center"/>
      <protection hidden="1"/>
    </xf>
    <xf numFmtId="0" fontId="11" fillId="0" borderId="17"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2" fillId="0" borderId="17"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170" fontId="22" fillId="0" borderId="10" xfId="0" applyNumberFormat="1" applyFont="1" applyBorder="1" applyAlignment="1" applyProtection="1">
      <alignment horizontal="center"/>
      <protection locked="0"/>
    </xf>
    <xf numFmtId="170" fontId="22" fillId="0" borderId="11" xfId="0" applyNumberFormat="1" applyFont="1" applyBorder="1" applyAlignment="1" applyProtection="1">
      <alignment horizontal="center"/>
      <protection locked="0"/>
    </xf>
    <xf numFmtId="170" fontId="22" fillId="0" borderId="12" xfId="0" applyNumberFormat="1" applyFont="1" applyBorder="1" applyAlignment="1" applyProtection="1">
      <alignment horizontal="center"/>
      <protection locked="0"/>
    </xf>
    <xf numFmtId="0" fontId="23" fillId="0" borderId="18" xfId="0" applyFont="1" applyBorder="1" applyAlignment="1" applyProtection="1">
      <alignment horizontal="center"/>
      <protection hidden="1"/>
    </xf>
    <xf numFmtId="0" fontId="23" fillId="0" borderId="21" xfId="0" applyFont="1" applyBorder="1" applyAlignment="1" applyProtection="1">
      <alignment horizontal="center"/>
      <protection hidden="1"/>
    </xf>
    <xf numFmtId="0" fontId="22" fillId="0" borderId="0" xfId="0" applyFont="1" applyAlignment="1" applyProtection="1">
      <alignment horizontal="center"/>
      <protection hidden="1"/>
    </xf>
    <xf numFmtId="0" fontId="17" fillId="0" borderId="14"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4" fillId="0" borderId="21" xfId="0" applyNumberFormat="1" applyFont="1" applyBorder="1" applyAlignment="1" applyProtection="1">
      <alignment horizontal="center" vertical="center"/>
      <protection hidden="1"/>
    </xf>
    <xf numFmtId="0" fontId="14" fillId="0" borderId="10" xfId="0" applyNumberFormat="1" applyFont="1" applyBorder="1" applyAlignment="1" applyProtection="1">
      <alignment horizontal="center" vertical="center"/>
      <protection hidden="1"/>
    </xf>
    <xf numFmtId="0" fontId="14" fillId="0" borderId="11" xfId="0" applyNumberFormat="1" applyFont="1" applyBorder="1" applyAlignment="1" applyProtection="1">
      <alignment horizontal="center" vertical="center"/>
      <protection hidden="1"/>
    </xf>
    <xf numFmtId="0" fontId="11" fillId="0" borderId="38" xfId="0" applyFont="1" applyFill="1" applyBorder="1" applyAlignment="1" applyProtection="1">
      <alignment horizontal="center"/>
      <protection hidden="1"/>
    </xf>
    <xf numFmtId="0" fontId="11" fillId="0" borderId="39" xfId="0" applyFont="1" applyFill="1" applyBorder="1" applyAlignment="1" applyProtection="1">
      <alignment horizontal="center"/>
      <protection hidden="1"/>
    </xf>
    <xf numFmtId="0" fontId="11" fillId="0" borderId="40" xfId="0" applyFont="1" applyFill="1" applyBorder="1" applyAlignment="1" applyProtection="1">
      <alignment horizontal="center"/>
      <protection hidden="1"/>
    </xf>
    <xf numFmtId="0" fontId="20" fillId="0" borderId="38" xfId="0" applyFont="1" applyBorder="1" applyAlignment="1" applyProtection="1">
      <alignment horizontal="center"/>
      <protection hidden="1"/>
    </xf>
    <xf numFmtId="0" fontId="20" fillId="0" borderId="40" xfId="0" applyFont="1" applyBorder="1" applyAlignment="1" applyProtection="1">
      <alignment horizontal="center"/>
      <protection hidden="1"/>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 fillId="0" borderId="0" xfId="0" applyFont="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
  <sheetViews>
    <sheetView showGridLines="0" zoomScale="75" zoomScaleNormal="75" zoomScalePageLayoutView="0" workbookViewId="0" topLeftCell="A1">
      <selection activeCell="B1" sqref="B1"/>
    </sheetView>
  </sheetViews>
  <sheetFormatPr defaultColWidth="11.421875" defaultRowHeight="12.75"/>
  <cols>
    <col min="1" max="1" width="140.140625" style="0" customWidth="1"/>
  </cols>
  <sheetData>
    <row r="1" ht="165.75" thickBot="1">
      <c r="A1" s="111" t="s">
        <v>280</v>
      </c>
    </row>
    <row r="2" ht="45">
      <c r="A2" s="110" t="s">
        <v>281</v>
      </c>
    </row>
    <row r="3" ht="45.75" thickBot="1">
      <c r="A3" s="111" t="s">
        <v>282</v>
      </c>
    </row>
    <row r="4" ht="45.75" thickBot="1">
      <c r="A4" s="111" t="s">
        <v>222</v>
      </c>
    </row>
    <row r="5" ht="30.75" thickBot="1">
      <c r="A5" s="111" t="s">
        <v>221</v>
      </c>
    </row>
    <row r="6" ht="75.75" thickBot="1">
      <c r="A6" s="111" t="s">
        <v>279</v>
      </c>
    </row>
  </sheetData>
  <sheetProtection password="8707" sheet="1" objects="1" scenarios="1"/>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7"/>
  <sheetViews>
    <sheetView showGridLines="0" zoomScalePageLayoutView="0" workbookViewId="0" topLeftCell="A40">
      <selection activeCell="E25" sqref="E25"/>
    </sheetView>
  </sheetViews>
  <sheetFormatPr defaultColWidth="11.421875" defaultRowHeight="12.75"/>
  <cols>
    <col min="1" max="1" width="7.8515625" style="12" customWidth="1"/>
    <col min="2" max="16384" width="11.421875" style="12" customWidth="1"/>
  </cols>
  <sheetData>
    <row r="1" spans="1:8" ht="12.75">
      <c r="A1" s="194" t="s">
        <v>44</v>
      </c>
      <c r="B1" s="194"/>
      <c r="C1" s="194"/>
      <c r="D1" s="194"/>
      <c r="E1" s="194"/>
      <c r="F1" s="194"/>
      <c r="G1" s="194"/>
      <c r="H1" s="194"/>
    </row>
    <row r="4" ht="12.75">
      <c r="A4" s="93" t="s">
        <v>193</v>
      </c>
    </row>
    <row r="5" ht="12.75">
      <c r="A5" s="93"/>
    </row>
    <row r="6" ht="12.75">
      <c r="A6" s="136" t="s">
        <v>194</v>
      </c>
    </row>
    <row r="8" ht="12.75">
      <c r="A8" s="12" t="s">
        <v>195</v>
      </c>
    </row>
    <row r="10" ht="12.75">
      <c r="A10" s="12" t="s">
        <v>196</v>
      </c>
    </row>
    <row r="11" ht="12.75">
      <c r="B11" s="137" t="s">
        <v>197</v>
      </c>
    </row>
    <row r="12" ht="12.75">
      <c r="B12" s="137" t="s">
        <v>198</v>
      </c>
    </row>
    <row r="13" ht="12.75">
      <c r="B13" s="137" t="s">
        <v>199</v>
      </c>
    </row>
    <row r="14" ht="12.75">
      <c r="B14" s="137" t="s">
        <v>200</v>
      </c>
    </row>
    <row r="15" ht="12.75">
      <c r="B15" s="137" t="s">
        <v>201</v>
      </c>
    </row>
    <row r="17" ht="12.75">
      <c r="A17" s="12" t="s">
        <v>202</v>
      </c>
    </row>
    <row r="19" ht="12.75">
      <c r="A19" s="12" t="s">
        <v>203</v>
      </c>
    </row>
    <row r="20" ht="11.25" customHeight="1"/>
    <row r="21" spans="1:8" s="133" customFormat="1" ht="55.5" customHeight="1">
      <c r="A21" s="195" t="s">
        <v>204</v>
      </c>
      <c r="B21" s="195"/>
      <c r="C21" s="195"/>
      <c r="D21" s="195"/>
      <c r="E21" s="195"/>
      <c r="F21" s="195"/>
      <c r="G21" s="195"/>
      <c r="H21" s="195"/>
    </row>
    <row r="23" ht="12.75">
      <c r="A23" s="136" t="s">
        <v>205</v>
      </c>
    </row>
    <row r="25" ht="12.75">
      <c r="A25" s="12" t="s">
        <v>206</v>
      </c>
    </row>
    <row r="27" ht="12.75">
      <c r="A27" s="53" t="s">
        <v>207</v>
      </c>
    </row>
    <row r="28" ht="12.75">
      <c r="B28" s="12" t="s">
        <v>208</v>
      </c>
    </row>
    <row r="29" ht="12.75">
      <c r="B29" s="12" t="s">
        <v>209</v>
      </c>
    </row>
    <row r="30" ht="12.75">
      <c r="A30" s="53" t="s">
        <v>210</v>
      </c>
    </row>
    <row r="31" s="138" customFormat="1" ht="12.75">
      <c r="B31" s="12" t="s">
        <v>211</v>
      </c>
    </row>
    <row r="32" ht="12.75">
      <c r="A32" s="53" t="s">
        <v>212</v>
      </c>
    </row>
    <row r="33" ht="12.75">
      <c r="A33" s="53" t="s">
        <v>213</v>
      </c>
    </row>
    <row r="34" ht="12.75">
      <c r="B34" s="12" t="s">
        <v>214</v>
      </c>
    </row>
    <row r="35" ht="12.75">
      <c r="B35" s="12" t="s">
        <v>215</v>
      </c>
    </row>
    <row r="36" ht="12.75">
      <c r="A36" s="53" t="s">
        <v>216</v>
      </c>
    </row>
    <row r="37" ht="12.75">
      <c r="A37" s="53" t="s">
        <v>217</v>
      </c>
    </row>
    <row r="38" spans="1:8" ht="39" customHeight="1">
      <c r="A38" s="195" t="s">
        <v>218</v>
      </c>
      <c r="B38" s="195"/>
      <c r="C38" s="195"/>
      <c r="D38" s="195"/>
      <c r="E38" s="195"/>
      <c r="F38" s="195"/>
      <c r="G38" s="195"/>
      <c r="H38" s="195"/>
    </row>
    <row r="40" spans="1:8" ht="39" customHeight="1">
      <c r="A40" s="192" t="s">
        <v>219</v>
      </c>
      <c r="B40" s="193"/>
      <c r="C40" s="193"/>
      <c r="D40" s="193"/>
      <c r="E40" s="193"/>
      <c r="F40" s="193"/>
      <c r="G40" s="193"/>
      <c r="H40" s="193"/>
    </row>
    <row r="42" spans="1:8" ht="27.75" customHeight="1">
      <c r="A42" s="192" t="s">
        <v>220</v>
      </c>
      <c r="B42" s="193"/>
      <c r="C42" s="193"/>
      <c r="D42" s="193"/>
      <c r="E42" s="193"/>
      <c r="F42" s="193"/>
      <c r="G42" s="193"/>
      <c r="H42" s="193"/>
    </row>
    <row r="47" ht="12.75">
      <c r="C47" s="137"/>
    </row>
  </sheetData>
  <sheetProtection password="8707" sheet="1" objects="1" scenarios="1"/>
  <mergeCells count="5">
    <mergeCell ref="A42:H42"/>
    <mergeCell ref="A1:H1"/>
    <mergeCell ref="A21:H21"/>
    <mergeCell ref="A38:H38"/>
    <mergeCell ref="A40:H40"/>
  </mergeCells>
  <printOptions horizontalCentered="1"/>
  <pageMargins left="0.5118110236220472" right="0.5118110236220472"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showGridLines="0" showZeros="0" zoomScale="75" zoomScaleNormal="75" zoomScalePageLayoutView="0" workbookViewId="0" topLeftCell="A1">
      <selection activeCell="C15" sqref="C15:D15"/>
    </sheetView>
  </sheetViews>
  <sheetFormatPr defaultColWidth="11.421875" defaultRowHeight="12.75"/>
  <cols>
    <col min="1" max="1" width="11.421875" style="12" customWidth="1"/>
    <col min="2" max="2" width="7.57421875" style="12" customWidth="1"/>
    <col min="3" max="3" width="6.57421875" style="12" customWidth="1"/>
    <col min="4" max="4" width="4.57421875" style="12" customWidth="1"/>
    <col min="5" max="5" width="12.421875" style="12" customWidth="1"/>
    <col min="6" max="6" width="7.57421875" style="12" customWidth="1"/>
    <col min="7" max="10" width="9.7109375" style="12" customWidth="1"/>
    <col min="11" max="11" width="10.421875" style="12" customWidth="1"/>
    <col min="12" max="12" width="0.85546875" style="12" customWidth="1"/>
    <col min="13" max="13" width="2.140625" style="12" customWidth="1"/>
    <col min="14" max="40" width="2.57421875" style="12" customWidth="1"/>
    <col min="41" max="41" width="2.7109375" style="12" customWidth="1"/>
    <col min="42" max="16384" width="11.421875" style="12" customWidth="1"/>
  </cols>
  <sheetData>
    <row r="1" spans="1:8" ht="23.25" customHeight="1">
      <c r="A1" s="12" t="s">
        <v>143</v>
      </c>
      <c r="C1" s="185" t="s">
        <v>46</v>
      </c>
      <c r="D1" s="186"/>
      <c r="E1" s="186"/>
      <c r="F1" s="186"/>
      <c r="G1" s="186"/>
      <c r="H1" s="181"/>
    </row>
    <row r="2" spans="1:8" ht="7.5" customHeight="1">
      <c r="A2" s="49"/>
      <c r="C2" s="50"/>
      <c r="D2" s="50"/>
      <c r="E2" s="50"/>
      <c r="F2" s="50"/>
      <c r="G2" s="50"/>
      <c r="H2" s="50"/>
    </row>
    <row r="3" spans="1:35" ht="18.75" customHeight="1">
      <c r="A3" s="51"/>
      <c r="C3" s="182" t="s">
        <v>47</v>
      </c>
      <c r="D3" s="197"/>
      <c r="E3" s="197"/>
      <c r="F3" s="197"/>
      <c r="G3" s="197"/>
      <c r="H3" s="198"/>
      <c r="P3" s="182" t="s">
        <v>45</v>
      </c>
      <c r="Q3" s="197"/>
      <c r="R3" s="197"/>
      <c r="S3" s="197"/>
      <c r="T3" s="197"/>
      <c r="U3" s="197"/>
      <c r="V3" s="197"/>
      <c r="W3" s="197"/>
      <c r="X3" s="197"/>
      <c r="Y3" s="197"/>
      <c r="Z3" s="197"/>
      <c r="AA3" s="197"/>
      <c r="AB3" s="197"/>
      <c r="AC3" s="197"/>
      <c r="AD3" s="197"/>
      <c r="AE3" s="197"/>
      <c r="AF3" s="197"/>
      <c r="AG3" s="197"/>
      <c r="AH3" s="197"/>
      <c r="AI3" s="198"/>
    </row>
    <row r="4" spans="3:8" ht="9" customHeight="1">
      <c r="C4" s="50"/>
      <c r="D4" s="50"/>
      <c r="E4" s="50"/>
      <c r="F4" s="50"/>
      <c r="G4" s="50"/>
      <c r="H4" s="50"/>
    </row>
    <row r="5" spans="1:11" ht="15">
      <c r="A5" s="12" t="s">
        <v>107</v>
      </c>
      <c r="B5" s="148" t="str">
        <f>VLOOKUP(recettes!R41,recettes!R38:S40,2)</f>
        <v>PA</v>
      </c>
      <c r="C5" s="52" t="s">
        <v>0</v>
      </c>
      <c r="D5" s="199" t="str">
        <f>VLOOKUP(recettes!T41,recettes!T37:U39,2)</f>
        <v>pâte fermentée</v>
      </c>
      <c r="E5" s="199"/>
      <c r="F5" s="12" t="s">
        <v>98</v>
      </c>
      <c r="K5" s="53" t="s">
        <v>29</v>
      </c>
    </row>
    <row r="6" ht="12.75">
      <c r="A6" s="12" t="s">
        <v>1</v>
      </c>
    </row>
    <row r="7" spans="2:41" ht="12.75">
      <c r="B7" s="54" t="s">
        <v>2</v>
      </c>
      <c r="C7" s="15">
        <v>15</v>
      </c>
      <c r="D7" s="196" t="s">
        <v>233</v>
      </c>
      <c r="E7" s="196"/>
      <c r="F7" s="45">
        <v>550</v>
      </c>
      <c r="K7" s="19"/>
      <c r="L7" s="17"/>
      <c r="M7" s="17"/>
      <c r="N7" s="17"/>
      <c r="O7" s="17"/>
      <c r="P7" s="17"/>
      <c r="Q7" s="17"/>
      <c r="R7" s="17"/>
      <c r="S7" s="17"/>
      <c r="T7" s="17"/>
      <c r="U7" s="22"/>
      <c r="V7" s="118" t="s">
        <v>229</v>
      </c>
      <c r="W7" s="184" t="s">
        <v>238</v>
      </c>
      <c r="X7" s="184"/>
      <c r="Y7" s="184"/>
      <c r="Z7" s="184"/>
      <c r="AA7" s="21" t="s">
        <v>112</v>
      </c>
      <c r="AB7" s="17"/>
      <c r="AC7" s="17"/>
      <c r="AD7" s="17"/>
      <c r="AE7" s="17"/>
      <c r="AF7" s="17"/>
      <c r="AG7" s="17"/>
      <c r="AH7" s="17"/>
      <c r="AI7" s="17"/>
      <c r="AJ7" s="17"/>
      <c r="AK7" s="17"/>
      <c r="AL7" s="17"/>
      <c r="AM7" s="17"/>
      <c r="AN7" s="17"/>
      <c r="AO7" s="18"/>
    </row>
    <row r="8" spans="2:41" ht="12.75">
      <c r="B8" s="54" t="s">
        <v>2</v>
      </c>
      <c r="C8" s="15">
        <v>8</v>
      </c>
      <c r="D8" s="196" t="s">
        <v>234</v>
      </c>
      <c r="E8" s="196"/>
      <c r="F8" s="45">
        <v>350</v>
      </c>
      <c r="K8" s="235" t="s">
        <v>239</v>
      </c>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6"/>
    </row>
    <row r="9" spans="2:41" ht="12.75">
      <c r="B9" s="54" t="s">
        <v>2</v>
      </c>
      <c r="C9" s="15">
        <v>5</v>
      </c>
      <c r="D9" s="196" t="s">
        <v>236</v>
      </c>
      <c r="E9" s="196"/>
      <c r="F9" s="45">
        <v>350</v>
      </c>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8"/>
    </row>
    <row r="10" spans="2:41" ht="12.75">
      <c r="B10" s="54" t="s">
        <v>2</v>
      </c>
      <c r="C10" s="15">
        <v>24</v>
      </c>
      <c r="D10" s="196" t="s">
        <v>237</v>
      </c>
      <c r="E10" s="196"/>
      <c r="F10" s="45">
        <v>80</v>
      </c>
      <c r="G10" s="12" t="s">
        <v>247</v>
      </c>
      <c r="K10" s="189" t="s">
        <v>32</v>
      </c>
      <c r="L10" s="190"/>
      <c r="M10" s="190"/>
      <c r="N10" s="190"/>
      <c r="O10" s="190"/>
      <c r="P10" s="190"/>
      <c r="Q10" s="191"/>
      <c r="R10" s="189" t="s">
        <v>31</v>
      </c>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1"/>
    </row>
    <row r="11" spans="1:41" ht="12.75">
      <c r="A11" s="57" t="s">
        <v>3</v>
      </c>
      <c r="K11" s="187" t="s">
        <v>30</v>
      </c>
      <c r="L11" s="188"/>
      <c r="M11" s="188"/>
      <c r="N11" s="183">
        <v>1000</v>
      </c>
      <c r="O11" s="183"/>
      <c r="P11" s="183"/>
      <c r="Q11" s="183"/>
      <c r="R11" s="34"/>
      <c r="S11" s="35"/>
      <c r="T11" s="35"/>
      <c r="U11" s="35"/>
      <c r="V11" s="35"/>
      <c r="W11" s="35"/>
      <c r="X11" s="35"/>
      <c r="Y11" s="35"/>
      <c r="Z11" s="35"/>
      <c r="AA11" s="35"/>
      <c r="AB11" s="35"/>
      <c r="AC11" s="35"/>
      <c r="AD11" s="35"/>
      <c r="AE11" s="35"/>
      <c r="AF11" s="35"/>
      <c r="AG11" s="35"/>
      <c r="AH11" s="35"/>
      <c r="AI11" s="35"/>
      <c r="AJ11" s="35"/>
      <c r="AK11" s="35"/>
      <c r="AL11" s="35"/>
      <c r="AM11" s="35"/>
      <c r="AN11" s="35"/>
      <c r="AO11" s="36"/>
    </row>
    <row r="12" spans="11:41" ht="12.75">
      <c r="K12" s="187">
        <f>IF(N12=0,"","gruau")</f>
      </c>
      <c r="L12" s="188"/>
      <c r="M12" s="188"/>
      <c r="N12" s="188"/>
      <c r="O12" s="188"/>
      <c r="P12" s="188"/>
      <c r="Q12" s="188"/>
      <c r="R12" s="37"/>
      <c r="S12" s="38"/>
      <c r="T12" s="38"/>
      <c r="U12" s="38"/>
      <c r="V12" s="38"/>
      <c r="W12" s="38"/>
      <c r="X12" s="38"/>
      <c r="Y12" s="38"/>
      <c r="Z12" s="38"/>
      <c r="AA12" s="38"/>
      <c r="AB12" s="38"/>
      <c r="AC12" s="38"/>
      <c r="AD12" s="38"/>
      <c r="AE12" s="38"/>
      <c r="AF12" s="38"/>
      <c r="AG12" s="38"/>
      <c r="AH12" s="38"/>
      <c r="AI12" s="38"/>
      <c r="AJ12" s="38"/>
      <c r="AK12" s="38"/>
      <c r="AL12" s="38"/>
      <c r="AM12" s="38"/>
      <c r="AN12" s="38"/>
      <c r="AO12" s="39"/>
    </row>
    <row r="13" spans="1:41" ht="12.75">
      <c r="A13" s="201" t="s">
        <v>4</v>
      </c>
      <c r="B13" s="202"/>
      <c r="C13" s="58"/>
      <c r="D13" s="59"/>
      <c r="E13" s="203" t="s">
        <v>5</v>
      </c>
      <c r="F13" s="204"/>
      <c r="G13" s="204"/>
      <c r="H13" s="204"/>
      <c r="I13" s="204"/>
      <c r="J13" s="205"/>
      <c r="K13" s="187" t="s">
        <v>7</v>
      </c>
      <c r="L13" s="188"/>
      <c r="M13" s="188"/>
      <c r="N13" s="188"/>
      <c r="O13" s="188"/>
      <c r="P13" s="188"/>
      <c r="Q13" s="188"/>
      <c r="R13" s="37"/>
      <c r="S13" s="38"/>
      <c r="T13" s="38"/>
      <c r="U13" s="38"/>
      <c r="V13" s="38"/>
      <c r="W13" s="38"/>
      <c r="X13" s="38"/>
      <c r="Y13" s="38"/>
      <c r="Z13" s="38"/>
      <c r="AA13" s="38"/>
      <c r="AB13" s="38"/>
      <c r="AC13" s="38"/>
      <c r="AD13" s="38"/>
      <c r="AE13" s="38"/>
      <c r="AF13" s="38"/>
      <c r="AG13" s="38"/>
      <c r="AH13" s="38"/>
      <c r="AI13" s="38"/>
      <c r="AJ13" s="38"/>
      <c r="AK13" s="38"/>
      <c r="AL13" s="38"/>
      <c r="AM13" s="38"/>
      <c r="AN13" s="38"/>
      <c r="AO13" s="39"/>
    </row>
    <row r="14" spans="1:41" ht="14.25" customHeight="1">
      <c r="A14" s="203" t="s">
        <v>6</v>
      </c>
      <c r="B14" s="204"/>
      <c r="C14" s="206"/>
      <c r="D14" s="206"/>
      <c r="E14" s="24"/>
      <c r="F14" s="30"/>
      <c r="G14" s="30"/>
      <c r="H14" s="30"/>
      <c r="I14" s="30"/>
      <c r="J14" s="31"/>
      <c r="K14" s="187" t="s">
        <v>8</v>
      </c>
      <c r="L14" s="188"/>
      <c r="M14" s="188"/>
      <c r="N14" s="188"/>
      <c r="O14" s="188"/>
      <c r="P14" s="188"/>
      <c r="Q14" s="188"/>
      <c r="R14" s="37"/>
      <c r="S14" s="38"/>
      <c r="T14" s="38"/>
      <c r="U14" s="38"/>
      <c r="V14" s="38"/>
      <c r="W14" s="38"/>
      <c r="X14" s="38"/>
      <c r="Y14" s="38"/>
      <c r="Z14" s="38"/>
      <c r="AA14" s="38"/>
      <c r="AB14" s="38"/>
      <c r="AC14" s="38"/>
      <c r="AD14" s="38"/>
      <c r="AE14" s="38"/>
      <c r="AF14" s="38"/>
      <c r="AG14" s="38"/>
      <c r="AH14" s="38"/>
      <c r="AI14" s="38"/>
      <c r="AJ14" s="38"/>
      <c r="AK14" s="38"/>
      <c r="AL14" s="38"/>
      <c r="AM14" s="38"/>
      <c r="AN14" s="38"/>
      <c r="AO14" s="39"/>
    </row>
    <row r="15" spans="1:41" ht="12.75">
      <c r="A15" s="203" t="s">
        <v>7</v>
      </c>
      <c r="B15" s="204"/>
      <c r="C15" s="206"/>
      <c r="D15" s="206"/>
      <c r="E15" s="24"/>
      <c r="F15" s="30"/>
      <c r="G15" s="30"/>
      <c r="H15" s="30"/>
      <c r="I15" s="30"/>
      <c r="J15" s="31"/>
      <c r="K15" s="187" t="s">
        <v>9</v>
      </c>
      <c r="L15" s="188"/>
      <c r="M15" s="188"/>
      <c r="N15" s="188"/>
      <c r="O15" s="188"/>
      <c r="P15" s="188"/>
      <c r="Q15" s="188"/>
      <c r="R15" s="37"/>
      <c r="S15" s="38"/>
      <c r="T15" s="38"/>
      <c r="U15" s="38"/>
      <c r="V15" s="40"/>
      <c r="W15" s="38"/>
      <c r="X15" s="38"/>
      <c r="Y15" s="38"/>
      <c r="Z15" s="38"/>
      <c r="AA15" s="38"/>
      <c r="AB15" s="38"/>
      <c r="AC15" s="38"/>
      <c r="AD15" s="38"/>
      <c r="AE15" s="38"/>
      <c r="AF15" s="40"/>
      <c r="AG15" s="38"/>
      <c r="AH15" s="38"/>
      <c r="AI15" s="38"/>
      <c r="AJ15" s="38"/>
      <c r="AK15" s="38"/>
      <c r="AL15" s="38"/>
      <c r="AM15" s="38"/>
      <c r="AN15" s="38"/>
      <c r="AO15" s="39"/>
    </row>
    <row r="16" spans="1:41" ht="12.75">
      <c r="A16" s="203" t="s">
        <v>8</v>
      </c>
      <c r="B16" s="204"/>
      <c r="C16" s="206"/>
      <c r="D16" s="206"/>
      <c r="E16" s="24"/>
      <c r="F16" s="30"/>
      <c r="G16" s="30"/>
      <c r="H16" s="30"/>
      <c r="I16" s="30"/>
      <c r="J16" s="31"/>
      <c r="K16" s="187" t="s">
        <v>187</v>
      </c>
      <c r="L16" s="188"/>
      <c r="M16" s="188"/>
      <c r="N16" s="188"/>
      <c r="O16" s="188"/>
      <c r="P16" s="188"/>
      <c r="Q16" s="188"/>
      <c r="R16" s="37"/>
      <c r="S16" s="38"/>
      <c r="T16" s="38"/>
      <c r="U16" s="38"/>
      <c r="V16" s="38"/>
      <c r="W16" s="38"/>
      <c r="X16" s="38"/>
      <c r="Y16" s="38"/>
      <c r="Z16" s="38"/>
      <c r="AA16" s="38"/>
      <c r="AB16" s="38"/>
      <c r="AC16" s="38"/>
      <c r="AD16" s="38"/>
      <c r="AE16" s="38"/>
      <c r="AF16" s="38"/>
      <c r="AG16" s="38"/>
      <c r="AH16" s="38"/>
      <c r="AI16" s="38"/>
      <c r="AJ16" s="38"/>
      <c r="AK16" s="38"/>
      <c r="AL16" s="38"/>
      <c r="AM16" s="38"/>
      <c r="AN16" s="38"/>
      <c r="AO16" s="39"/>
    </row>
    <row r="17" spans="1:41" ht="12.75">
      <c r="A17" s="201" t="s">
        <v>9</v>
      </c>
      <c r="B17" s="207"/>
      <c r="C17" s="206"/>
      <c r="D17" s="206"/>
      <c r="E17" s="24"/>
      <c r="F17" s="30"/>
      <c r="G17" s="30"/>
      <c r="H17" s="30"/>
      <c r="I17" s="30"/>
      <c r="J17" s="31"/>
      <c r="K17" s="187" t="s">
        <v>83</v>
      </c>
      <c r="L17" s="188"/>
      <c r="M17" s="188"/>
      <c r="N17" s="188"/>
      <c r="O17" s="188"/>
      <c r="P17" s="188"/>
      <c r="Q17" s="188"/>
      <c r="R17" s="37"/>
      <c r="S17" s="38"/>
      <c r="T17" s="38"/>
      <c r="U17" s="38"/>
      <c r="V17" s="38"/>
      <c r="W17" s="38"/>
      <c r="X17" s="38"/>
      <c r="Y17" s="38"/>
      <c r="Z17" s="38"/>
      <c r="AA17" s="38"/>
      <c r="AB17" s="38"/>
      <c r="AC17" s="38"/>
      <c r="AD17" s="38"/>
      <c r="AE17" s="38"/>
      <c r="AF17" s="38"/>
      <c r="AG17" s="38"/>
      <c r="AH17" s="38"/>
      <c r="AI17" s="38"/>
      <c r="AJ17" s="38"/>
      <c r="AK17" s="38"/>
      <c r="AL17" s="38"/>
      <c r="AM17" s="38"/>
      <c r="AN17" s="38"/>
      <c r="AO17" s="39"/>
    </row>
    <row r="18" spans="1:41" ht="12.75">
      <c r="A18" s="203" t="str">
        <f>IF(ISBLANK(D5),"",IF(OR(D5="poolish",D5="levure"),"",IF(D5="pâte fermentée","pâte fermentée","")))</f>
        <v>pâte fermentée</v>
      </c>
      <c r="B18" s="204"/>
      <c r="C18" s="206"/>
      <c r="D18" s="206"/>
      <c r="E18" s="24"/>
      <c r="F18" s="30"/>
      <c r="G18" s="30"/>
      <c r="H18" s="30"/>
      <c r="I18" s="30"/>
      <c r="J18" s="31"/>
      <c r="K18" s="187" t="s">
        <v>186</v>
      </c>
      <c r="L18" s="188"/>
      <c r="M18" s="188"/>
      <c r="N18" s="188"/>
      <c r="O18" s="188"/>
      <c r="P18" s="188"/>
      <c r="Q18" s="188"/>
      <c r="R18" s="37"/>
      <c r="S18" s="38"/>
      <c r="T18" s="38"/>
      <c r="U18" s="38"/>
      <c r="V18" s="38"/>
      <c r="W18" s="38"/>
      <c r="X18" s="38"/>
      <c r="Y18" s="38"/>
      <c r="Z18" s="38"/>
      <c r="AA18" s="38"/>
      <c r="AB18" s="38"/>
      <c r="AC18" s="38"/>
      <c r="AD18" s="38"/>
      <c r="AE18" s="38"/>
      <c r="AF18" s="38"/>
      <c r="AG18" s="38"/>
      <c r="AH18" s="38"/>
      <c r="AI18" s="38"/>
      <c r="AJ18" s="38"/>
      <c r="AK18" s="38"/>
      <c r="AL18" s="38"/>
      <c r="AM18" s="38"/>
      <c r="AN18" s="38"/>
      <c r="AO18" s="39"/>
    </row>
    <row r="19" spans="1:41" ht="12.75">
      <c r="A19" s="200" t="s">
        <v>10</v>
      </c>
      <c r="B19" s="201"/>
      <c r="C19" s="206"/>
      <c r="D19" s="206"/>
      <c r="E19" s="24"/>
      <c r="F19" s="30"/>
      <c r="G19" s="30"/>
      <c r="H19" s="30"/>
      <c r="I19" s="30"/>
      <c r="J19" s="31"/>
      <c r="K19" s="187" t="s">
        <v>169</v>
      </c>
      <c r="L19" s="188"/>
      <c r="M19" s="188"/>
      <c r="N19" s="188"/>
      <c r="O19" s="188"/>
      <c r="P19" s="188"/>
      <c r="Q19" s="188"/>
      <c r="R19" s="41"/>
      <c r="S19" s="42"/>
      <c r="T19" s="42"/>
      <c r="U19" s="42"/>
      <c r="V19" s="42"/>
      <c r="W19" s="42"/>
      <c r="X19" s="42"/>
      <c r="Y19" s="42"/>
      <c r="Z19" s="42"/>
      <c r="AA19" s="42"/>
      <c r="AB19" s="42"/>
      <c r="AC19" s="42"/>
      <c r="AD19" s="42"/>
      <c r="AE19" s="42"/>
      <c r="AF19" s="42"/>
      <c r="AG19" s="42"/>
      <c r="AH19" s="42"/>
      <c r="AI19" s="42"/>
      <c r="AJ19" s="42"/>
      <c r="AK19" s="42"/>
      <c r="AL19" s="42"/>
      <c r="AM19" s="42"/>
      <c r="AN19" s="42"/>
      <c r="AO19" s="43"/>
    </row>
    <row r="20" spans="1:17" ht="12.75">
      <c r="A20" s="62"/>
      <c r="B20" s="62"/>
      <c r="C20" s="62"/>
      <c r="D20" s="62"/>
      <c r="E20" s="62"/>
      <c r="F20" s="62"/>
      <c r="G20" s="62"/>
      <c r="H20" s="62"/>
      <c r="I20" s="62"/>
      <c r="J20" s="62"/>
      <c r="K20" s="60"/>
      <c r="L20" s="60"/>
      <c r="M20" s="60"/>
      <c r="N20" s="60"/>
      <c r="O20" s="60"/>
      <c r="P20" s="60"/>
      <c r="Q20" s="60"/>
    </row>
    <row r="21" spans="1:41" ht="12.75">
      <c r="A21" s="190" t="s">
        <v>11</v>
      </c>
      <c r="B21" s="190"/>
      <c r="C21" s="190"/>
      <c r="D21" s="190"/>
      <c r="E21" s="190"/>
      <c r="F21" s="190"/>
      <c r="G21" s="190"/>
      <c r="H21" s="190"/>
      <c r="I21" s="190"/>
      <c r="J21" s="190"/>
      <c r="K21" s="208" t="s">
        <v>111</v>
      </c>
      <c r="L21" s="209"/>
      <c r="M21" s="209"/>
      <c r="N21" s="209"/>
      <c r="O21" s="209"/>
      <c r="P21" s="209"/>
      <c r="Q21" s="209"/>
      <c r="R21" s="209"/>
      <c r="S21" s="209"/>
      <c r="T21" s="209"/>
      <c r="U21" s="209"/>
      <c r="V21" s="209"/>
      <c r="W21" s="183" t="s">
        <v>63</v>
      </c>
      <c r="X21" s="183"/>
      <c r="Y21" s="183"/>
      <c r="Z21" s="183"/>
      <c r="AA21" s="147" t="s">
        <v>112</v>
      </c>
      <c r="AB21" s="139"/>
      <c r="AC21" s="139"/>
      <c r="AD21" s="139"/>
      <c r="AE21" s="139"/>
      <c r="AF21" s="139"/>
      <c r="AG21" s="139"/>
      <c r="AH21" s="139"/>
      <c r="AI21" s="139"/>
      <c r="AJ21" s="139"/>
      <c r="AK21" s="139"/>
      <c r="AL21" s="139"/>
      <c r="AM21" s="139"/>
      <c r="AN21" s="139"/>
      <c r="AO21" s="47"/>
    </row>
    <row r="22" spans="1:41" ht="12.75">
      <c r="A22" s="201" t="s">
        <v>12</v>
      </c>
      <c r="B22" s="202"/>
      <c r="C22" s="24"/>
      <c r="D22" s="25"/>
      <c r="E22" s="25"/>
      <c r="F22" s="26"/>
      <c r="G22" s="201" t="s">
        <v>18</v>
      </c>
      <c r="H22" s="202"/>
      <c r="I22" s="201"/>
      <c r="J22" s="202"/>
      <c r="K22" s="140" t="s">
        <v>230</v>
      </c>
      <c r="L22" s="211">
        <v>16</v>
      </c>
      <c r="M22" s="212"/>
      <c r="N22" s="165" t="str">
        <f>IF(ISBLANK(L22),"","pâtons de 60 g(")</f>
        <v>pâtons de 60 g(</v>
      </c>
      <c r="O22" s="61"/>
      <c r="P22" s="61"/>
      <c r="Q22" s="61"/>
      <c r="R22" s="61"/>
      <c r="S22" s="243" t="str">
        <f>IF(ISBLANK(L22),"","2 formes dont une forme fantaisie)")</f>
        <v>2 formes dont une forme fantaisie)</v>
      </c>
      <c r="T22" s="243"/>
      <c r="U22" s="243"/>
      <c r="V22" s="243"/>
      <c r="W22" s="243"/>
      <c r="X22" s="243"/>
      <c r="Y22" s="243"/>
      <c r="Z22" s="243"/>
      <c r="AA22" s="243"/>
      <c r="AB22" s="243"/>
      <c r="AC22" s="243"/>
      <c r="AD22" s="243"/>
      <c r="AE22" s="243"/>
      <c r="AF22" s="243"/>
      <c r="AG22" s="243"/>
      <c r="AH22" s="243"/>
      <c r="AI22" s="243"/>
      <c r="AJ22" s="243"/>
      <c r="AK22" s="243"/>
      <c r="AL22" s="243"/>
      <c r="AM22" s="243"/>
      <c r="AN22" s="243"/>
      <c r="AO22" s="244"/>
    </row>
    <row r="23" spans="1:41" ht="14.25">
      <c r="A23" s="201" t="s">
        <v>13</v>
      </c>
      <c r="B23" s="202"/>
      <c r="C23" s="187"/>
      <c r="D23" s="188"/>
      <c r="E23" s="188"/>
      <c r="F23" s="210"/>
      <c r="G23" s="201" t="s">
        <v>19</v>
      </c>
      <c r="H23" s="202"/>
      <c r="I23" s="187"/>
      <c r="J23" s="210"/>
      <c r="K23" s="67"/>
      <c r="L23" s="141"/>
      <c r="M23" s="164" t="str">
        <f>IF(ISBLANK(L22),"","le reste en grosses pièces (")</f>
        <v>le reste en grosses pièces (</v>
      </c>
      <c r="N23" s="141"/>
      <c r="O23" s="141"/>
      <c r="P23" s="141"/>
      <c r="Q23" s="141"/>
      <c r="R23" s="141"/>
      <c r="S23" s="141"/>
      <c r="T23" s="141"/>
      <c r="U23" s="141"/>
      <c r="V23" s="241" t="str">
        <f>IF(ISBLANK(L22),"","3 tresses à 3 branches)")</f>
        <v>3 tresses à 3 branches)</v>
      </c>
      <c r="W23" s="241"/>
      <c r="X23" s="241"/>
      <c r="Y23" s="241"/>
      <c r="Z23" s="241"/>
      <c r="AA23" s="241"/>
      <c r="AB23" s="241"/>
      <c r="AC23" s="241"/>
      <c r="AD23" s="241"/>
      <c r="AE23" s="241"/>
      <c r="AF23" s="241"/>
      <c r="AG23" s="241"/>
      <c r="AH23" s="241"/>
      <c r="AI23" s="241"/>
      <c r="AJ23" s="241"/>
      <c r="AK23" s="241"/>
      <c r="AL23" s="241"/>
      <c r="AM23" s="241"/>
      <c r="AN23" s="241"/>
      <c r="AO23" s="242"/>
    </row>
    <row r="24" spans="1:41" ht="12.75">
      <c r="A24" s="201" t="s">
        <v>14</v>
      </c>
      <c r="B24" s="202"/>
      <c r="C24" s="213"/>
      <c r="D24" s="214"/>
      <c r="E24" s="214"/>
      <c r="F24" s="215"/>
      <c r="G24" s="201" t="s">
        <v>20</v>
      </c>
      <c r="H24" s="202"/>
      <c r="I24" s="187"/>
      <c r="J24" s="210"/>
      <c r="K24" s="245" t="s">
        <v>32</v>
      </c>
      <c r="L24" s="246"/>
      <c r="M24" s="246"/>
      <c r="N24" s="246"/>
      <c r="O24" s="246"/>
      <c r="P24" s="246"/>
      <c r="Q24" s="247"/>
      <c r="R24" s="245" t="s">
        <v>31</v>
      </c>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7"/>
    </row>
    <row r="25" spans="1:41" ht="12.75">
      <c r="A25" s="201" t="s">
        <v>15</v>
      </c>
      <c r="B25" s="202"/>
      <c r="C25" s="213"/>
      <c r="D25" s="214"/>
      <c r="E25" s="214"/>
      <c r="F25" s="215"/>
      <c r="G25" s="201" t="s">
        <v>21</v>
      </c>
      <c r="H25" s="202"/>
      <c r="I25" s="187"/>
      <c r="J25" s="210"/>
      <c r="K25" s="187" t="s">
        <v>30</v>
      </c>
      <c r="L25" s="188"/>
      <c r="M25" s="116"/>
      <c r="N25" s="183">
        <v>1000</v>
      </c>
      <c r="O25" s="183"/>
      <c r="P25" s="183"/>
      <c r="Q25" s="183"/>
      <c r="R25" s="34"/>
      <c r="S25" s="35"/>
      <c r="T25" s="35"/>
      <c r="U25" s="35"/>
      <c r="V25" s="35"/>
      <c r="W25" s="35"/>
      <c r="X25" s="35"/>
      <c r="Y25" s="35"/>
      <c r="Z25" s="61"/>
      <c r="AA25" s="35"/>
      <c r="AB25" s="35"/>
      <c r="AC25" s="35"/>
      <c r="AD25" s="35"/>
      <c r="AE25" s="35"/>
      <c r="AF25" s="35"/>
      <c r="AG25" s="35"/>
      <c r="AH25" s="35"/>
      <c r="AI25" s="35"/>
      <c r="AJ25" s="35"/>
      <c r="AK25" s="35"/>
      <c r="AL25" s="35"/>
      <c r="AM25" s="35"/>
      <c r="AN25" s="35"/>
      <c r="AO25" s="27"/>
    </row>
    <row r="26" spans="1:41" ht="12.75">
      <c r="A26" s="201" t="s">
        <v>16</v>
      </c>
      <c r="B26" s="202"/>
      <c r="C26" s="213"/>
      <c r="D26" s="214"/>
      <c r="E26" s="214"/>
      <c r="F26" s="215"/>
      <c r="G26" s="201" t="s">
        <v>22</v>
      </c>
      <c r="H26" s="202"/>
      <c r="I26" s="187"/>
      <c r="J26" s="210"/>
      <c r="K26" s="187" t="s">
        <v>185</v>
      </c>
      <c r="L26" s="188"/>
      <c r="M26" s="188"/>
      <c r="N26" s="116"/>
      <c r="O26" s="116"/>
      <c r="P26" s="116"/>
      <c r="Q26" s="117"/>
      <c r="R26" s="37"/>
      <c r="S26" s="38"/>
      <c r="T26" s="38"/>
      <c r="U26" s="38"/>
      <c r="V26" s="38"/>
      <c r="W26" s="38"/>
      <c r="X26" s="38"/>
      <c r="Y26" s="38"/>
      <c r="Z26" s="62"/>
      <c r="AA26" s="38"/>
      <c r="AB26" s="44"/>
      <c r="AC26" s="44"/>
      <c r="AD26" s="44"/>
      <c r="AE26" s="44"/>
      <c r="AF26" s="44"/>
      <c r="AG26" s="44"/>
      <c r="AH26" s="38"/>
      <c r="AI26" s="38"/>
      <c r="AJ26" s="38"/>
      <c r="AK26" s="38"/>
      <c r="AL26" s="38"/>
      <c r="AM26" s="38"/>
      <c r="AN26" s="38"/>
      <c r="AO26" s="28"/>
    </row>
    <row r="27" spans="1:41" ht="12.75">
      <c r="A27" s="201" t="s">
        <v>17</v>
      </c>
      <c r="B27" s="202"/>
      <c r="C27" s="213"/>
      <c r="D27" s="214"/>
      <c r="E27" s="214"/>
      <c r="F27" s="215"/>
      <c r="G27" s="201" t="s">
        <v>23</v>
      </c>
      <c r="H27" s="202"/>
      <c r="I27" s="187"/>
      <c r="J27" s="210"/>
      <c r="K27" s="187" t="s">
        <v>7</v>
      </c>
      <c r="L27" s="188"/>
      <c r="M27" s="188"/>
      <c r="N27" s="116"/>
      <c r="O27" s="116"/>
      <c r="P27" s="116"/>
      <c r="Q27" s="117"/>
      <c r="R27" s="37"/>
      <c r="S27" s="38"/>
      <c r="T27" s="38"/>
      <c r="U27" s="38"/>
      <c r="V27" s="38"/>
      <c r="W27" s="38"/>
      <c r="X27" s="38"/>
      <c r="Y27" s="38"/>
      <c r="Z27" s="62"/>
      <c r="AA27" s="44"/>
      <c r="AB27" s="44"/>
      <c r="AC27" s="44"/>
      <c r="AD27" s="44"/>
      <c r="AE27" s="44"/>
      <c r="AF27" s="44"/>
      <c r="AG27" s="44"/>
      <c r="AH27" s="38"/>
      <c r="AI27" s="38"/>
      <c r="AJ27" s="38"/>
      <c r="AK27" s="38"/>
      <c r="AL27" s="38"/>
      <c r="AM27" s="38"/>
      <c r="AN27" s="38"/>
      <c r="AO27" s="28"/>
    </row>
    <row r="28" spans="11:41" ht="12.75" customHeight="1">
      <c r="K28" s="187" t="s">
        <v>8</v>
      </c>
      <c r="L28" s="188"/>
      <c r="M28" s="188"/>
      <c r="N28" s="116"/>
      <c r="O28" s="116"/>
      <c r="P28" s="116"/>
      <c r="Q28" s="117"/>
      <c r="R28" s="37"/>
      <c r="S28" s="38"/>
      <c r="T28" s="38"/>
      <c r="U28" s="38"/>
      <c r="V28" s="38"/>
      <c r="W28" s="38"/>
      <c r="X28" s="38"/>
      <c r="Y28" s="38"/>
      <c r="Z28" s="38"/>
      <c r="AA28" s="38"/>
      <c r="AB28" s="38"/>
      <c r="AC28" s="38"/>
      <c r="AD28" s="38"/>
      <c r="AE28" s="38"/>
      <c r="AF28" s="38"/>
      <c r="AG28" s="38"/>
      <c r="AH28" s="38"/>
      <c r="AI28" s="38"/>
      <c r="AJ28" s="38"/>
      <c r="AK28" s="38"/>
      <c r="AL28" s="38"/>
      <c r="AM28" s="38"/>
      <c r="AN28" s="38"/>
      <c r="AO28" s="28"/>
    </row>
    <row r="29" spans="3:41" ht="12.75" customHeight="1">
      <c r="C29" s="216" t="s">
        <v>24</v>
      </c>
      <c r="D29" s="217"/>
      <c r="E29" s="217"/>
      <c r="F29" s="220" t="str">
        <f>VLOOKUP(recettes!V41,recettes!V38:W40,2)</f>
        <v>campagne</v>
      </c>
      <c r="G29" s="220"/>
      <c r="H29" s="221" t="s">
        <v>25</v>
      </c>
      <c r="K29" s="187" t="s">
        <v>9</v>
      </c>
      <c r="L29" s="188"/>
      <c r="M29" s="188"/>
      <c r="N29" s="116"/>
      <c r="O29" s="116"/>
      <c r="P29" s="116"/>
      <c r="Q29" s="117"/>
      <c r="R29" s="37"/>
      <c r="S29" s="38"/>
      <c r="T29" s="38"/>
      <c r="U29" s="38"/>
      <c r="V29" s="38"/>
      <c r="W29" s="38"/>
      <c r="X29" s="38"/>
      <c r="Y29" s="38"/>
      <c r="Z29" s="38"/>
      <c r="AA29" s="38"/>
      <c r="AB29" s="38"/>
      <c r="AC29" s="38"/>
      <c r="AD29" s="38"/>
      <c r="AE29" s="38"/>
      <c r="AF29" s="38"/>
      <c r="AG29" s="38"/>
      <c r="AH29" s="38"/>
      <c r="AI29" s="38"/>
      <c r="AJ29" s="38"/>
      <c r="AK29" s="38"/>
      <c r="AL29" s="38"/>
      <c r="AM29" s="38"/>
      <c r="AN29" s="38"/>
      <c r="AO29" s="28"/>
    </row>
    <row r="30" spans="3:42" ht="15.75">
      <c r="C30" s="218"/>
      <c r="D30" s="219"/>
      <c r="E30" s="219"/>
      <c r="F30" s="223" t="str">
        <f>VLOOKUP(recettes!U41,recettes!T43:U46,2)</f>
        <v>pâte fermentée</v>
      </c>
      <c r="G30" s="223"/>
      <c r="H30" s="222"/>
      <c r="K30" s="187" t="s">
        <v>187</v>
      </c>
      <c r="L30" s="188"/>
      <c r="M30" s="188"/>
      <c r="N30" s="116"/>
      <c r="O30" s="116"/>
      <c r="P30" s="116"/>
      <c r="Q30" s="117"/>
      <c r="R30" s="37"/>
      <c r="S30" s="38"/>
      <c r="T30" s="38"/>
      <c r="U30" s="38"/>
      <c r="V30" s="38"/>
      <c r="W30" s="38"/>
      <c r="X30" s="38"/>
      <c r="Y30" s="38"/>
      <c r="Z30" s="38"/>
      <c r="AA30" s="38"/>
      <c r="AB30" s="38"/>
      <c r="AC30" s="38"/>
      <c r="AD30" s="38"/>
      <c r="AE30" s="38"/>
      <c r="AF30" s="38"/>
      <c r="AG30" s="38"/>
      <c r="AH30" s="38"/>
      <c r="AI30" s="38"/>
      <c r="AJ30" s="38"/>
      <c r="AK30" s="38"/>
      <c r="AL30" s="38"/>
      <c r="AM30" s="38"/>
      <c r="AN30" s="38"/>
      <c r="AO30" s="28"/>
      <c r="AP30" s="62"/>
    </row>
    <row r="31" spans="4:41" ht="12.75">
      <c r="D31" s="63"/>
      <c r="E31" s="63"/>
      <c r="F31" s="56"/>
      <c r="G31" s="56"/>
      <c r="H31" s="62"/>
      <c r="K31" s="187" t="s">
        <v>83</v>
      </c>
      <c r="L31" s="188"/>
      <c r="M31" s="188"/>
      <c r="N31" s="116"/>
      <c r="O31" s="116"/>
      <c r="P31" s="116"/>
      <c r="Q31" s="117"/>
      <c r="R31" s="37"/>
      <c r="S31" s="38"/>
      <c r="T31" s="38"/>
      <c r="U31" s="38"/>
      <c r="V31" s="38"/>
      <c r="W31" s="38"/>
      <c r="X31" s="38"/>
      <c r="Y31" s="38"/>
      <c r="Z31" s="38"/>
      <c r="AA31" s="38"/>
      <c r="AB31" s="38"/>
      <c r="AC31" s="38"/>
      <c r="AD31" s="38"/>
      <c r="AE31" s="38"/>
      <c r="AF31" s="38"/>
      <c r="AG31" s="38"/>
      <c r="AH31" s="38"/>
      <c r="AI31" s="38"/>
      <c r="AJ31" s="38"/>
      <c r="AK31" s="38"/>
      <c r="AL31" s="38"/>
      <c r="AM31" s="38"/>
      <c r="AN31" s="38"/>
      <c r="AO31" s="28"/>
    </row>
    <row r="32" spans="1:41" ht="12.75">
      <c r="A32" s="12" t="s">
        <v>1</v>
      </c>
      <c r="D32" s="32">
        <v>12</v>
      </c>
      <c r="E32" s="15" t="s">
        <v>101</v>
      </c>
      <c r="F32" s="12" t="s">
        <v>26</v>
      </c>
      <c r="G32" s="33">
        <v>350</v>
      </c>
      <c r="H32" s="12" t="s">
        <v>27</v>
      </c>
      <c r="K32" s="187" t="s">
        <v>186</v>
      </c>
      <c r="L32" s="188"/>
      <c r="M32" s="188"/>
      <c r="N32" s="116"/>
      <c r="O32" s="116"/>
      <c r="P32" s="116"/>
      <c r="Q32" s="117"/>
      <c r="R32" s="37"/>
      <c r="S32" s="38"/>
      <c r="T32" s="38"/>
      <c r="U32" s="38"/>
      <c r="V32" s="38"/>
      <c r="W32" s="38"/>
      <c r="X32" s="38"/>
      <c r="Y32" s="38"/>
      <c r="Z32" s="38"/>
      <c r="AA32" s="38"/>
      <c r="AB32" s="38"/>
      <c r="AC32" s="38"/>
      <c r="AD32" s="38"/>
      <c r="AE32" s="38"/>
      <c r="AF32" s="38"/>
      <c r="AG32" s="38"/>
      <c r="AH32" s="38"/>
      <c r="AI32" s="38"/>
      <c r="AJ32" s="38"/>
      <c r="AK32" s="38"/>
      <c r="AL32" s="38"/>
      <c r="AM32" s="38"/>
      <c r="AN32" s="38"/>
      <c r="AO32" s="28"/>
    </row>
    <row r="33" spans="1:41" ht="12.75">
      <c r="A33" s="57" t="s">
        <v>28</v>
      </c>
      <c r="K33" s="187" t="s">
        <v>169</v>
      </c>
      <c r="L33" s="188"/>
      <c r="M33" s="188"/>
      <c r="N33" s="116"/>
      <c r="O33" s="116"/>
      <c r="P33" s="116"/>
      <c r="Q33" s="117"/>
      <c r="R33" s="41"/>
      <c r="S33" s="42"/>
      <c r="T33" s="42"/>
      <c r="U33" s="42"/>
      <c r="V33" s="42"/>
      <c r="W33" s="42"/>
      <c r="X33" s="42"/>
      <c r="Y33" s="42"/>
      <c r="Z33" s="42"/>
      <c r="AA33" s="42"/>
      <c r="AB33" s="42"/>
      <c r="AC33" s="42"/>
      <c r="AD33" s="42"/>
      <c r="AE33" s="42"/>
      <c r="AF33" s="42"/>
      <c r="AG33" s="42"/>
      <c r="AH33" s="42"/>
      <c r="AI33" s="42"/>
      <c r="AJ33" s="42"/>
      <c r="AK33" s="42"/>
      <c r="AL33" s="42"/>
      <c r="AM33" s="42"/>
      <c r="AN33" s="42"/>
      <c r="AO33" s="29"/>
    </row>
    <row r="34" ht="12.75"/>
    <row r="35" spans="1:35" ht="15.75">
      <c r="A35" s="201" t="s">
        <v>4</v>
      </c>
      <c r="B35" s="202"/>
      <c r="C35" s="24"/>
      <c r="D35" s="26"/>
      <c r="E35" s="203" t="s">
        <v>5</v>
      </c>
      <c r="F35" s="204"/>
      <c r="G35" s="204"/>
      <c r="H35" s="204"/>
      <c r="I35" s="204"/>
      <c r="J35" s="205"/>
      <c r="P35" s="182" t="s">
        <v>48</v>
      </c>
      <c r="Q35" s="197"/>
      <c r="R35" s="197"/>
      <c r="S35" s="197"/>
      <c r="T35" s="197"/>
      <c r="U35" s="197"/>
      <c r="V35" s="197"/>
      <c r="W35" s="197"/>
      <c r="X35" s="197"/>
      <c r="Y35" s="197"/>
      <c r="Z35" s="197"/>
      <c r="AA35" s="197"/>
      <c r="AB35" s="197"/>
      <c r="AC35" s="197"/>
      <c r="AD35" s="197"/>
      <c r="AE35" s="197"/>
      <c r="AF35" s="197"/>
      <c r="AG35" s="197"/>
      <c r="AH35" s="197"/>
      <c r="AI35" s="198"/>
    </row>
    <row r="36" spans="1:10" ht="12.75">
      <c r="A36" s="203" t="s">
        <v>183</v>
      </c>
      <c r="B36" s="204"/>
      <c r="C36" s="187"/>
      <c r="D36" s="210"/>
      <c r="E36" s="58"/>
      <c r="F36" s="65"/>
      <c r="G36" s="65"/>
      <c r="H36" s="65"/>
      <c r="I36" s="65"/>
      <c r="J36" s="66"/>
    </row>
    <row r="37" spans="1:11" ht="12.75">
      <c r="A37" s="203">
        <f>IF(F29="complet","farine type 150","")</f>
      </c>
      <c r="B37" s="204"/>
      <c r="C37" s="187"/>
      <c r="D37" s="188"/>
      <c r="E37" s="187">
        <f>IF(OR(ISBLANK(J$29),ISBLANK(J$30)),"",IF(AND(ISTEXT(J$29),ISBLANK(C30)),"ze",HLOOKUP(CONCATENATE(J$29,J$30),painsp,6)))</f>
      </c>
      <c r="F37" s="188"/>
      <c r="G37" s="30"/>
      <c r="H37" s="30"/>
      <c r="I37" s="30"/>
      <c r="J37" s="31"/>
      <c r="K37" s="53" t="s">
        <v>33</v>
      </c>
    </row>
    <row r="38" spans="1:13" ht="12.75">
      <c r="A38" s="203" t="s">
        <v>184</v>
      </c>
      <c r="B38" s="204"/>
      <c r="C38" s="187"/>
      <c r="D38" s="210"/>
      <c r="E38" s="67"/>
      <c r="F38" s="68"/>
      <c r="G38" s="68"/>
      <c r="H38" s="68"/>
      <c r="I38" s="68"/>
      <c r="J38" s="69"/>
      <c r="K38" s="64" t="s">
        <v>34</v>
      </c>
      <c r="L38" s="56"/>
      <c r="M38" s="56"/>
    </row>
    <row r="39" spans="1:13" ht="12.75">
      <c r="A39" s="203" t="s">
        <v>7</v>
      </c>
      <c r="B39" s="204"/>
      <c r="C39" s="187"/>
      <c r="D39" s="210"/>
      <c r="E39" s="24"/>
      <c r="F39" s="30"/>
      <c r="G39" s="30"/>
      <c r="H39" s="30"/>
      <c r="I39" s="30"/>
      <c r="J39" s="31"/>
      <c r="K39" s="56"/>
      <c r="L39" s="56"/>
      <c r="M39" s="56"/>
    </row>
    <row r="40" spans="1:41" ht="12.75">
      <c r="A40" s="203" t="s">
        <v>8</v>
      </c>
      <c r="B40" s="204"/>
      <c r="C40" s="187"/>
      <c r="D40" s="210"/>
      <c r="E40" s="24"/>
      <c r="F40" s="30"/>
      <c r="G40" s="30"/>
      <c r="H40" s="30"/>
      <c r="I40" s="30"/>
      <c r="J40" s="31"/>
      <c r="K40" s="16"/>
      <c r="L40" s="47"/>
      <c r="M40" s="62"/>
      <c r="N40" s="19"/>
      <c r="O40" s="22"/>
      <c r="P40" s="22"/>
      <c r="Q40" s="20"/>
      <c r="R40" s="19"/>
      <c r="S40" s="22"/>
      <c r="T40" s="22"/>
      <c r="U40" s="20"/>
      <c r="V40" s="19"/>
      <c r="W40" s="22"/>
      <c r="X40" s="22"/>
      <c r="Y40" s="20"/>
      <c r="Z40" s="19"/>
      <c r="AA40" s="22"/>
      <c r="AB40" s="22"/>
      <c r="AC40" s="20"/>
      <c r="AD40" s="19"/>
      <c r="AE40" s="22"/>
      <c r="AF40" s="22"/>
      <c r="AG40" s="20"/>
      <c r="AH40" s="19"/>
      <c r="AI40" s="22"/>
      <c r="AJ40" s="22"/>
      <c r="AK40" s="20"/>
      <c r="AL40" s="19"/>
      <c r="AM40" s="22"/>
      <c r="AN40" s="22"/>
      <c r="AO40" s="20"/>
    </row>
    <row r="41" spans="1:41" ht="12.75">
      <c r="A41" s="203" t="s">
        <v>9</v>
      </c>
      <c r="B41" s="204"/>
      <c r="C41" s="187"/>
      <c r="D41" s="210"/>
      <c r="E41" s="24"/>
      <c r="F41" s="30"/>
      <c r="G41" s="30"/>
      <c r="H41" s="30"/>
      <c r="I41" s="30"/>
      <c r="J41" s="31"/>
      <c r="K41" s="16"/>
      <c r="L41" s="47"/>
      <c r="M41" s="62"/>
      <c r="N41" s="19"/>
      <c r="O41" s="22"/>
      <c r="P41" s="22"/>
      <c r="Q41" s="20"/>
      <c r="R41" s="19"/>
      <c r="S41" s="22"/>
      <c r="T41" s="22"/>
      <c r="U41" s="20"/>
      <c r="V41" s="19"/>
      <c r="W41" s="22"/>
      <c r="X41" s="22"/>
      <c r="Y41" s="20"/>
      <c r="Z41" s="19"/>
      <c r="AA41" s="22"/>
      <c r="AB41" s="22"/>
      <c r="AC41" s="20"/>
      <c r="AD41" s="19"/>
      <c r="AE41" s="22"/>
      <c r="AF41" s="22"/>
      <c r="AG41" s="20"/>
      <c r="AH41" s="19"/>
      <c r="AI41" s="22"/>
      <c r="AJ41" s="22"/>
      <c r="AK41" s="20"/>
      <c r="AL41" s="19"/>
      <c r="AM41" s="22"/>
      <c r="AN41" s="22"/>
      <c r="AO41" s="20"/>
    </row>
    <row r="42" spans="1:41" ht="12.75">
      <c r="A42" s="203" t="s">
        <v>102</v>
      </c>
      <c r="B42" s="204"/>
      <c r="C42" s="187"/>
      <c r="D42" s="210"/>
      <c r="E42" s="24"/>
      <c r="F42" s="30"/>
      <c r="G42" s="30"/>
      <c r="H42" s="30"/>
      <c r="I42" s="30"/>
      <c r="J42" s="31"/>
      <c r="K42" s="16" t="s">
        <v>35</v>
      </c>
      <c r="L42" s="47"/>
      <c r="M42" s="62"/>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2.75">
      <c r="A43" s="203" t="str">
        <f>IF(F30="pâte fermentée","pâte fermentée","")</f>
        <v>pâte fermentée</v>
      </c>
      <c r="B43" s="204"/>
      <c r="C43" s="187"/>
      <c r="D43" s="210"/>
      <c r="E43" s="24"/>
      <c r="F43" s="30"/>
      <c r="G43" s="30"/>
      <c r="H43" s="30"/>
      <c r="I43" s="30"/>
      <c r="J43" s="31"/>
      <c r="K43" s="16"/>
      <c r="L43" s="47"/>
      <c r="M43" s="62"/>
      <c r="N43" s="19"/>
      <c r="O43" s="22"/>
      <c r="P43" s="22"/>
      <c r="Q43" s="20"/>
      <c r="R43" s="19"/>
      <c r="S43" s="22"/>
      <c r="T43" s="22"/>
      <c r="U43" s="20"/>
      <c r="V43" s="19"/>
      <c r="W43" s="22"/>
      <c r="X43" s="22"/>
      <c r="Y43" s="20"/>
      <c r="Z43" s="19"/>
      <c r="AA43" s="22"/>
      <c r="AB43" s="22"/>
      <c r="AC43" s="20"/>
      <c r="AD43" s="19"/>
      <c r="AE43" s="22"/>
      <c r="AF43" s="22"/>
      <c r="AG43" s="20"/>
      <c r="AH43" s="19"/>
      <c r="AI43" s="22"/>
      <c r="AJ43" s="22"/>
      <c r="AK43" s="20"/>
      <c r="AL43" s="19"/>
      <c r="AM43" s="22"/>
      <c r="AN43" s="22"/>
      <c r="AO43" s="20"/>
    </row>
    <row r="44" spans="1:41" ht="12.75">
      <c r="A44" s="201" t="s">
        <v>10</v>
      </c>
      <c r="B44" s="202"/>
      <c r="C44" s="187"/>
      <c r="D44" s="210"/>
      <c r="E44" s="24"/>
      <c r="F44" s="30"/>
      <c r="G44" s="30"/>
      <c r="H44" s="30"/>
      <c r="I44" s="30"/>
      <c r="J44" s="31"/>
      <c r="K44" s="16" t="s">
        <v>36</v>
      </c>
      <c r="L44" s="47"/>
      <c r="M44" s="62"/>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1:41" ht="12.75">
      <c r="K45" s="16"/>
      <c r="L45" s="47"/>
      <c r="M45" s="62"/>
      <c r="N45" s="19"/>
      <c r="O45" s="22"/>
      <c r="P45" s="22"/>
      <c r="Q45" s="20"/>
      <c r="R45" s="19"/>
      <c r="S45" s="22"/>
      <c r="T45" s="22"/>
      <c r="U45" s="20"/>
      <c r="V45" s="19"/>
      <c r="W45" s="22"/>
      <c r="X45" s="22"/>
      <c r="Y45" s="20"/>
      <c r="Z45" s="19"/>
      <c r="AA45" s="22"/>
      <c r="AB45" s="22"/>
      <c r="AC45" s="20"/>
      <c r="AD45" s="19"/>
      <c r="AE45" s="22"/>
      <c r="AF45" s="22"/>
      <c r="AG45" s="20"/>
      <c r="AH45" s="19"/>
      <c r="AI45" s="22"/>
      <c r="AJ45" s="22"/>
      <c r="AK45" s="20"/>
      <c r="AL45" s="19"/>
      <c r="AM45" s="22"/>
      <c r="AN45" s="22"/>
      <c r="AO45" s="20"/>
    </row>
    <row r="46" spans="1:41" ht="12.75">
      <c r="A46" s="190" t="s">
        <v>11</v>
      </c>
      <c r="B46" s="190"/>
      <c r="C46" s="190"/>
      <c r="D46" s="190"/>
      <c r="E46" s="190"/>
      <c r="F46" s="190"/>
      <c r="G46" s="190"/>
      <c r="H46" s="190"/>
      <c r="I46" s="190"/>
      <c r="J46" s="190"/>
      <c r="K46" s="16" t="s">
        <v>37</v>
      </c>
      <c r="L46" s="47"/>
      <c r="M46" s="62"/>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2.75">
      <c r="A47" s="201" t="s">
        <v>12</v>
      </c>
      <c r="B47" s="202"/>
      <c r="C47" s="24"/>
      <c r="D47" s="25"/>
      <c r="E47" s="25"/>
      <c r="F47" s="26"/>
      <c r="G47" s="201" t="s">
        <v>18</v>
      </c>
      <c r="H47" s="202"/>
      <c r="I47" s="201"/>
      <c r="J47" s="202"/>
      <c r="K47" s="16"/>
      <c r="L47" s="47"/>
      <c r="M47" s="62"/>
      <c r="N47" s="19"/>
      <c r="O47" s="22"/>
      <c r="P47" s="22"/>
      <c r="Q47" s="20"/>
      <c r="R47" s="19"/>
      <c r="S47" s="22"/>
      <c r="T47" s="22"/>
      <c r="U47" s="20"/>
      <c r="V47" s="19"/>
      <c r="W47" s="22"/>
      <c r="X47" s="22"/>
      <c r="Y47" s="20"/>
      <c r="Z47" s="19"/>
      <c r="AA47" s="22"/>
      <c r="AB47" s="22"/>
      <c r="AC47" s="20"/>
      <c r="AD47" s="19"/>
      <c r="AE47" s="22"/>
      <c r="AF47" s="22"/>
      <c r="AG47" s="20"/>
      <c r="AH47" s="19"/>
      <c r="AI47" s="22"/>
      <c r="AJ47" s="22"/>
      <c r="AK47" s="20"/>
      <c r="AL47" s="19"/>
      <c r="AM47" s="22"/>
      <c r="AN47" s="22"/>
      <c r="AO47" s="20"/>
    </row>
    <row r="48" spans="1:41" ht="14.25">
      <c r="A48" s="201" t="s">
        <v>13</v>
      </c>
      <c r="B48" s="202"/>
      <c r="C48" s="187"/>
      <c r="D48" s="188"/>
      <c r="E48" s="188"/>
      <c r="F48" s="210"/>
      <c r="G48" s="201" t="s">
        <v>19</v>
      </c>
      <c r="H48" s="202"/>
      <c r="I48" s="187"/>
      <c r="J48" s="210"/>
      <c r="K48" s="16" t="s">
        <v>38</v>
      </c>
      <c r="L48" s="47"/>
      <c r="M48" s="56"/>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13" ht="12.75">
      <c r="A49" s="201" t="s">
        <v>14</v>
      </c>
      <c r="B49" s="202"/>
      <c r="C49" s="213"/>
      <c r="D49" s="214"/>
      <c r="E49" s="214"/>
      <c r="F49" s="215"/>
      <c r="G49" s="201" t="s">
        <v>20</v>
      </c>
      <c r="H49" s="202"/>
      <c r="I49" s="187"/>
      <c r="J49" s="210"/>
      <c r="K49" s="56"/>
      <c r="L49" s="56"/>
      <c r="M49" s="56"/>
    </row>
    <row r="50" spans="1:12" ht="12.75">
      <c r="A50" s="201" t="s">
        <v>15</v>
      </c>
      <c r="B50" s="202"/>
      <c r="C50" s="213"/>
      <c r="D50" s="214"/>
      <c r="E50" s="214"/>
      <c r="F50" s="215"/>
      <c r="G50" s="201" t="s">
        <v>21</v>
      </c>
      <c r="H50" s="202"/>
      <c r="I50" s="187"/>
      <c r="J50" s="210"/>
      <c r="K50" s="62" t="s">
        <v>39</v>
      </c>
      <c r="L50" s="62" t="s">
        <v>40</v>
      </c>
    </row>
    <row r="51" spans="1:12" ht="12.75">
      <c r="A51" s="201" t="s">
        <v>16</v>
      </c>
      <c r="B51" s="202"/>
      <c r="C51" s="213"/>
      <c r="D51" s="214"/>
      <c r="E51" s="214"/>
      <c r="F51" s="215"/>
      <c r="G51" s="201" t="s">
        <v>22</v>
      </c>
      <c r="H51" s="202"/>
      <c r="I51" s="187"/>
      <c r="J51" s="210"/>
      <c r="K51" s="62"/>
      <c r="L51" s="62" t="s">
        <v>41</v>
      </c>
    </row>
    <row r="52" spans="1:12" ht="12.75">
      <c r="A52" s="201" t="s">
        <v>17</v>
      </c>
      <c r="B52" s="202"/>
      <c r="C52" s="213"/>
      <c r="D52" s="214"/>
      <c r="E52" s="214"/>
      <c r="F52" s="215"/>
      <c r="G52" s="201" t="s">
        <v>23</v>
      </c>
      <c r="H52" s="202"/>
      <c r="I52" s="187"/>
      <c r="J52" s="210"/>
      <c r="K52" s="62"/>
      <c r="L52" s="62" t="s">
        <v>42</v>
      </c>
    </row>
    <row r="53" spans="11:12" ht="12.75">
      <c r="K53" s="62"/>
      <c r="L53" s="70" t="s">
        <v>43</v>
      </c>
    </row>
    <row r="54" spans="1:10" ht="17.25">
      <c r="A54" s="231"/>
      <c r="B54" s="231"/>
      <c r="C54" s="231"/>
      <c r="D54" s="231"/>
      <c r="E54" s="231"/>
      <c r="F54" s="231"/>
      <c r="G54" s="231"/>
      <c r="H54" s="141"/>
      <c r="I54" s="172"/>
      <c r="J54" s="174"/>
    </row>
    <row r="55" spans="1:10" ht="15">
      <c r="A55" s="72" t="s">
        <v>44</v>
      </c>
      <c r="B55" s="73"/>
      <c r="C55" s="73"/>
      <c r="D55" s="73"/>
      <c r="E55" s="73"/>
      <c r="F55" s="73"/>
      <c r="G55" s="73"/>
      <c r="H55" s="173"/>
      <c r="I55" s="170" t="s">
        <v>137</v>
      </c>
      <c r="J55" s="171">
        <v>2008</v>
      </c>
    </row>
    <row r="56" spans="1:10" ht="15">
      <c r="A56" s="72" t="s">
        <v>142</v>
      </c>
      <c r="B56" s="73"/>
      <c r="C56" s="73"/>
      <c r="D56" s="73"/>
      <c r="E56" s="73"/>
      <c r="F56" s="73"/>
      <c r="G56" s="73"/>
      <c r="H56" s="74"/>
      <c r="I56" s="74"/>
      <c r="J56" s="75"/>
    </row>
    <row r="57" spans="1:10" ht="12.75">
      <c r="A57" s="232" t="s">
        <v>138</v>
      </c>
      <c r="B57" s="233"/>
      <c r="C57" s="233"/>
      <c r="D57" s="233"/>
      <c r="E57" s="234"/>
      <c r="F57" s="232" t="s">
        <v>139</v>
      </c>
      <c r="G57" s="234"/>
      <c r="H57" s="224" t="s">
        <v>140</v>
      </c>
      <c r="I57" s="225"/>
      <c r="J57" s="239">
        <v>1</v>
      </c>
    </row>
    <row r="58" spans="1:10" ht="15">
      <c r="A58" s="228" t="s">
        <v>141</v>
      </c>
      <c r="B58" s="229"/>
      <c r="C58" s="229"/>
      <c r="D58" s="229"/>
      <c r="E58" s="230"/>
      <c r="F58" s="228">
        <v>12</v>
      </c>
      <c r="G58" s="229"/>
      <c r="H58" s="226"/>
      <c r="I58" s="227"/>
      <c r="J58" s="240"/>
    </row>
    <row r="59" ht="15" customHeight="1">
      <c r="K59" s="76"/>
    </row>
  </sheetData>
  <sheetProtection/>
  <mergeCells count="142">
    <mergeCell ref="N25:Q25"/>
    <mergeCell ref="V23:AO23"/>
    <mergeCell ref="S22:AO22"/>
    <mergeCell ref="K30:M30"/>
    <mergeCell ref="R24:AO24"/>
    <mergeCell ref="K24:Q24"/>
    <mergeCell ref="K31:M31"/>
    <mergeCell ref="K32:M32"/>
    <mergeCell ref="K26:M26"/>
    <mergeCell ref="K27:M27"/>
    <mergeCell ref="K28:M28"/>
    <mergeCell ref="K29:M29"/>
    <mergeCell ref="K33:M33"/>
    <mergeCell ref="K25:L25"/>
    <mergeCell ref="K8:AO9"/>
    <mergeCell ref="J57:J58"/>
    <mergeCell ref="A46:J46"/>
    <mergeCell ref="A47:B47"/>
    <mergeCell ref="G47:H47"/>
    <mergeCell ref="I47:J47"/>
    <mergeCell ref="A43:B43"/>
    <mergeCell ref="C43:D43"/>
    <mergeCell ref="H57:I58"/>
    <mergeCell ref="A52:B52"/>
    <mergeCell ref="C52:F52"/>
    <mergeCell ref="G52:H52"/>
    <mergeCell ref="I52:J52"/>
    <mergeCell ref="A58:E58"/>
    <mergeCell ref="F58:G58"/>
    <mergeCell ref="A54:G54"/>
    <mergeCell ref="A57:E57"/>
    <mergeCell ref="F57:G57"/>
    <mergeCell ref="A50:B50"/>
    <mergeCell ref="C50:F50"/>
    <mergeCell ref="G50:H50"/>
    <mergeCell ref="I50:J50"/>
    <mergeCell ref="A51:B51"/>
    <mergeCell ref="C51:F51"/>
    <mergeCell ref="G51:H51"/>
    <mergeCell ref="I51:J51"/>
    <mergeCell ref="A48:B48"/>
    <mergeCell ref="C48:F48"/>
    <mergeCell ref="G48:H48"/>
    <mergeCell ref="I48:J48"/>
    <mergeCell ref="A49:B49"/>
    <mergeCell ref="C49:F49"/>
    <mergeCell ref="G49:H49"/>
    <mergeCell ref="I49:J49"/>
    <mergeCell ref="A44:B44"/>
    <mergeCell ref="C44:D44"/>
    <mergeCell ref="A41:B41"/>
    <mergeCell ref="C41:D41"/>
    <mergeCell ref="A42:B42"/>
    <mergeCell ref="C42:D42"/>
    <mergeCell ref="A38:B38"/>
    <mergeCell ref="C38:D38"/>
    <mergeCell ref="A39:B39"/>
    <mergeCell ref="C39:D39"/>
    <mergeCell ref="A40:B40"/>
    <mergeCell ref="C40:D40"/>
    <mergeCell ref="P35:AI35"/>
    <mergeCell ref="A35:B35"/>
    <mergeCell ref="E35:J35"/>
    <mergeCell ref="A36:B36"/>
    <mergeCell ref="C36:D36"/>
    <mergeCell ref="A37:B37"/>
    <mergeCell ref="C37:D37"/>
    <mergeCell ref="E37:F37"/>
    <mergeCell ref="A27:B27"/>
    <mergeCell ref="C27:F27"/>
    <mergeCell ref="G27:H27"/>
    <mergeCell ref="I27:J27"/>
    <mergeCell ref="C29:E30"/>
    <mergeCell ref="F29:G29"/>
    <mergeCell ref="H29:H30"/>
    <mergeCell ref="F30:G30"/>
    <mergeCell ref="A26:B26"/>
    <mergeCell ref="C26:F26"/>
    <mergeCell ref="G26:H26"/>
    <mergeCell ref="I26:J26"/>
    <mergeCell ref="G25:H25"/>
    <mergeCell ref="I25:J25"/>
    <mergeCell ref="A24:B24"/>
    <mergeCell ref="C24:F24"/>
    <mergeCell ref="G24:H24"/>
    <mergeCell ref="I24:J24"/>
    <mergeCell ref="A25:B25"/>
    <mergeCell ref="C25:F25"/>
    <mergeCell ref="A22:B22"/>
    <mergeCell ref="G22:H22"/>
    <mergeCell ref="I22:J22"/>
    <mergeCell ref="L22:M22"/>
    <mergeCell ref="A23:B23"/>
    <mergeCell ref="C23:F23"/>
    <mergeCell ref="G23:H23"/>
    <mergeCell ref="I23:J23"/>
    <mergeCell ref="K18:M18"/>
    <mergeCell ref="N18:Q18"/>
    <mergeCell ref="K21:V21"/>
    <mergeCell ref="C18:D18"/>
    <mergeCell ref="W21:Z21"/>
    <mergeCell ref="A21:J21"/>
    <mergeCell ref="D8:E8"/>
    <mergeCell ref="A17:B17"/>
    <mergeCell ref="C17:D17"/>
    <mergeCell ref="K17:M17"/>
    <mergeCell ref="N17:Q17"/>
    <mergeCell ref="K19:M19"/>
    <mergeCell ref="N19:Q19"/>
    <mergeCell ref="A18:B18"/>
    <mergeCell ref="A19:B19"/>
    <mergeCell ref="A13:B13"/>
    <mergeCell ref="E13:J13"/>
    <mergeCell ref="A16:B16"/>
    <mergeCell ref="C16:D16"/>
    <mergeCell ref="A14:B14"/>
    <mergeCell ref="C14:D14"/>
    <mergeCell ref="A15:B15"/>
    <mergeCell ref="C15:D15"/>
    <mergeCell ref="C19:D19"/>
    <mergeCell ref="W7:Z7"/>
    <mergeCell ref="C1:H1"/>
    <mergeCell ref="C3:H3"/>
    <mergeCell ref="P3:AI3"/>
    <mergeCell ref="D5:E5"/>
    <mergeCell ref="D7:E7"/>
    <mergeCell ref="N13:Q13"/>
    <mergeCell ref="K10:Q10"/>
    <mergeCell ref="R10:AO10"/>
    <mergeCell ref="K11:M11"/>
    <mergeCell ref="N11:Q11"/>
    <mergeCell ref="N12:Q12"/>
    <mergeCell ref="N15:Q15"/>
    <mergeCell ref="K14:M14"/>
    <mergeCell ref="N14:Q14"/>
    <mergeCell ref="K16:M16"/>
    <mergeCell ref="N16:Q16"/>
    <mergeCell ref="D9:E9"/>
    <mergeCell ref="D10:E10"/>
    <mergeCell ref="K15:M15"/>
    <mergeCell ref="K12:M12"/>
    <mergeCell ref="K13:M13"/>
  </mergeCells>
  <printOptions horizontalCentered="1"/>
  <pageMargins left="0.5511811023622047" right="0.5511811023622047" top="0.3937007874015748" bottom="0.3937007874015748" header="0.5118110236220472" footer="0.5118110236220472"/>
  <pageSetup horizontalDpi="300" verticalDpi="300" orientation="portrait" paperSize="9" r:id="rId3"/>
  <headerFooter alignWithMargins="0">
    <oddFooter>&amp;LCampus des métiers 86&amp;RPatrick Parsy/ Franck Boucher</oddFooter>
  </headerFooter>
  <legacyDrawing r:id="rId2"/>
</worksheet>
</file>

<file path=xl/worksheets/sheet4.xml><?xml version="1.0" encoding="utf-8"?>
<worksheet xmlns="http://schemas.openxmlformats.org/spreadsheetml/2006/main" xmlns:r="http://schemas.openxmlformats.org/officeDocument/2006/relationships">
  <dimension ref="A1:AP58"/>
  <sheetViews>
    <sheetView showGridLines="0" showZeros="0" tabSelected="1" zoomScale="70" zoomScaleNormal="70" zoomScalePageLayoutView="0" workbookViewId="0" topLeftCell="A1">
      <selection activeCell="AQ35" sqref="AQ35"/>
    </sheetView>
  </sheetViews>
  <sheetFormatPr defaultColWidth="11.421875" defaultRowHeight="12.75"/>
  <cols>
    <col min="1" max="1" width="11.421875" style="12" customWidth="1"/>
    <col min="2" max="2" width="7.57421875" style="12" customWidth="1"/>
    <col min="3" max="3" width="6.57421875" style="12" customWidth="1"/>
    <col min="4" max="4" width="4.57421875" style="12" customWidth="1"/>
    <col min="5" max="5" width="10.140625" style="12" customWidth="1"/>
    <col min="6" max="6" width="7.57421875" style="12" customWidth="1"/>
    <col min="7" max="11" width="9.7109375" style="12" customWidth="1"/>
    <col min="12" max="12" width="1.28515625" style="12" customWidth="1"/>
    <col min="13" max="13" width="2.140625" style="12" customWidth="1"/>
    <col min="14" max="40" width="2.57421875" style="12" customWidth="1"/>
    <col min="41" max="41" width="2.7109375" style="12" customWidth="1"/>
    <col min="42" max="42" width="2.140625" style="12" customWidth="1"/>
    <col min="43" max="16384" width="11.421875" style="12" customWidth="1"/>
  </cols>
  <sheetData>
    <row r="1" spans="1:8" ht="26.25" customHeight="1">
      <c r="A1" s="12" t="s">
        <v>143</v>
      </c>
      <c r="C1" s="185" t="s">
        <v>46</v>
      </c>
      <c r="D1" s="186"/>
      <c r="E1" s="186"/>
      <c r="F1" s="186"/>
      <c r="G1" s="186"/>
      <c r="H1" s="181"/>
    </row>
    <row r="2" spans="1:8" ht="7.5" customHeight="1">
      <c r="A2" s="49"/>
      <c r="C2" s="50"/>
      <c r="D2" s="50"/>
      <c r="E2" s="50"/>
      <c r="F2" s="50"/>
      <c r="G2" s="50"/>
      <c r="H2" s="50"/>
    </row>
    <row r="3" spans="1:35" ht="18.75" customHeight="1">
      <c r="A3" s="51"/>
      <c r="C3" s="182" t="s">
        <v>47</v>
      </c>
      <c r="D3" s="197"/>
      <c r="E3" s="197"/>
      <c r="F3" s="197"/>
      <c r="G3" s="197"/>
      <c r="H3" s="198"/>
      <c r="P3" s="182" t="s">
        <v>45</v>
      </c>
      <c r="Q3" s="197"/>
      <c r="R3" s="197"/>
      <c r="S3" s="197"/>
      <c r="T3" s="197"/>
      <c r="U3" s="197"/>
      <c r="V3" s="197"/>
      <c r="W3" s="197"/>
      <c r="X3" s="197"/>
      <c r="Y3" s="197"/>
      <c r="Z3" s="197"/>
      <c r="AA3" s="197"/>
      <c r="AB3" s="197"/>
      <c r="AC3" s="197"/>
      <c r="AD3" s="197"/>
      <c r="AE3" s="197"/>
      <c r="AF3" s="197"/>
      <c r="AG3" s="197"/>
      <c r="AH3" s="197"/>
      <c r="AI3" s="198"/>
    </row>
    <row r="4" spans="3:8" ht="9" customHeight="1">
      <c r="C4" s="50"/>
      <c r="D4" s="50"/>
      <c r="E4" s="50"/>
      <c r="F4" s="50"/>
      <c r="G4" s="50"/>
      <c r="H4" s="50"/>
    </row>
    <row r="5" spans="1:11" ht="12.75">
      <c r="A5" s="12" t="s">
        <v>107</v>
      </c>
      <c r="B5" s="109" t="str">
        <f>'sujet '!B5</f>
        <v>PA</v>
      </c>
      <c r="C5" s="52" t="s">
        <v>0</v>
      </c>
      <c r="D5" s="270" t="str">
        <f>'sujet '!D5:E5</f>
        <v>pâte fermentée</v>
      </c>
      <c r="E5" s="270"/>
      <c r="F5" s="12" t="s">
        <v>98</v>
      </c>
      <c r="K5" s="53" t="s">
        <v>29</v>
      </c>
    </row>
    <row r="6" ht="12.75">
      <c r="A6" s="12" t="s">
        <v>1</v>
      </c>
    </row>
    <row r="7" spans="2:41" ht="12.75">
      <c r="B7" s="54" t="s">
        <v>2</v>
      </c>
      <c r="C7" s="55">
        <f>'sujet '!C7</f>
        <v>15</v>
      </c>
      <c r="D7" s="12" t="str">
        <f>'sujet '!D7:E7</f>
        <v>pains pesés à</v>
      </c>
      <c r="F7" s="154">
        <f>'sujet '!F7</f>
        <v>550</v>
      </c>
      <c r="K7" s="24"/>
      <c r="L7" s="139"/>
      <c r="M7" s="139"/>
      <c r="N7" s="139"/>
      <c r="O7" s="139"/>
      <c r="P7" s="139"/>
      <c r="Q7" s="139"/>
      <c r="R7" s="139"/>
      <c r="S7" s="139"/>
      <c r="T7" s="139"/>
      <c r="U7" s="25"/>
      <c r="V7" s="153" t="s">
        <v>229</v>
      </c>
      <c r="W7" s="207" t="str">
        <f>'sujet '!W7:Z7</f>
        <v>croissants</v>
      </c>
      <c r="X7" s="207"/>
      <c r="Y7" s="207"/>
      <c r="Z7" s="207"/>
      <c r="AA7" s="147" t="s">
        <v>112</v>
      </c>
      <c r="AB7" s="139"/>
      <c r="AC7" s="139"/>
      <c r="AD7" s="139"/>
      <c r="AE7" s="139"/>
      <c r="AF7" s="139"/>
      <c r="AG7" s="139"/>
      <c r="AH7" s="139"/>
      <c r="AI7" s="139"/>
      <c r="AJ7" s="139"/>
      <c r="AK7" s="139"/>
      <c r="AL7" s="139"/>
      <c r="AM7" s="139"/>
      <c r="AN7" s="139"/>
      <c r="AO7" s="47"/>
    </row>
    <row r="8" spans="2:41" ht="12.75">
      <c r="B8" s="54" t="s">
        <v>2</v>
      </c>
      <c r="C8" s="55">
        <v>16</v>
      </c>
      <c r="D8" s="12" t="str">
        <f>'sujet '!D8:E8</f>
        <v>baguettes pesées à</v>
      </c>
      <c r="F8" s="154">
        <f>'sujet '!F8</f>
        <v>350</v>
      </c>
      <c r="K8" s="251" t="str">
        <f>'sujet '!K8:AO9</f>
        <v>32 à 36 pièces</v>
      </c>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2:41" ht="12.75">
      <c r="B9" s="54" t="s">
        <v>2</v>
      </c>
      <c r="C9" s="55">
        <f>'sujet '!C9</f>
        <v>5</v>
      </c>
      <c r="D9" s="12" t="str">
        <f>'sujet '!D9:E9</f>
        <v>bâtards pesés à</v>
      </c>
      <c r="F9" s="154">
        <f>'sujet '!F9</f>
        <v>350</v>
      </c>
      <c r="K9" s="254"/>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6"/>
    </row>
    <row r="10" spans="2:41" ht="12.75">
      <c r="B10" s="54" t="s">
        <v>2</v>
      </c>
      <c r="C10" s="55">
        <f>'sujet '!C10</f>
        <v>24</v>
      </c>
      <c r="D10" s="12" t="str">
        <f>'sujet '!D10:E10</f>
        <v>petits pains pesés à</v>
      </c>
      <c r="F10" s="154">
        <f>'sujet '!F10</f>
        <v>80</v>
      </c>
      <c r="G10" s="12" t="s">
        <v>247</v>
      </c>
      <c r="K10" s="189" t="s">
        <v>32</v>
      </c>
      <c r="L10" s="190"/>
      <c r="M10" s="190"/>
      <c r="N10" s="190"/>
      <c r="O10" s="190"/>
      <c r="P10" s="190"/>
      <c r="Q10" s="191"/>
      <c r="R10" s="189" t="s">
        <v>31</v>
      </c>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1"/>
    </row>
    <row r="11" spans="1:41" ht="12.75">
      <c r="A11" s="57" t="s">
        <v>3</v>
      </c>
      <c r="K11" s="187" t="s">
        <v>30</v>
      </c>
      <c r="L11" s="188"/>
      <c r="M11" s="188"/>
      <c r="N11" s="248">
        <f>'sujet '!N11:Q11</f>
        <v>1000</v>
      </c>
      <c r="O11" s="248"/>
      <c r="P11" s="248"/>
      <c r="Q11" s="249"/>
      <c r="R11" s="34" t="str">
        <f>IF(ISBLANK('sujet '!K8),"",IF(ISBLANK(N11),"","pétrissage :"))</f>
        <v>pétrissage :</v>
      </c>
      <c r="S11" s="35"/>
      <c r="T11" s="35"/>
      <c r="U11" s="35"/>
      <c r="V11" s="35" t="str">
        <f>IF(ISBLANK('sujet '!K8),"",IF(ISBLANK(N11),"","TB"))</f>
        <v>TB</v>
      </c>
      <c r="W11" s="35"/>
      <c r="X11" s="35"/>
      <c r="Y11" s="35" t="str">
        <f>IF(ISBLANK('sujet '!K8),"",IF(ISBLANK(N11),"",recettes!V25))</f>
        <v>50/52° C</v>
      </c>
      <c r="Z11" s="35"/>
      <c r="AA11" s="35"/>
      <c r="AB11" s="35">
        <f>IF(ISBLANK(X11),"","pétrissage :")</f>
      </c>
      <c r="AC11" s="35"/>
      <c r="AD11" s="35"/>
      <c r="AE11" s="35"/>
      <c r="AF11" s="35">
        <f>IF(ISBLANK(X11),"","TB")</f>
      </c>
      <c r="AG11" s="35"/>
      <c r="AH11" s="35"/>
      <c r="AI11" s="35"/>
      <c r="AJ11" s="35"/>
      <c r="AK11" s="35"/>
      <c r="AL11" s="35"/>
      <c r="AM11" s="35"/>
      <c r="AN11" s="35"/>
      <c r="AO11" s="36"/>
    </row>
    <row r="12" spans="11:41" ht="12.75">
      <c r="K12" s="187">
        <f>IF(N12=0,"","gruau")</f>
      </c>
      <c r="L12" s="188"/>
      <c r="M12" s="188"/>
      <c r="N12" s="248">
        <f>IF(ISBLANK('sujet '!K8:AO9),"",recettes!V7)</f>
        <v>0</v>
      </c>
      <c r="O12" s="248"/>
      <c r="P12" s="248"/>
      <c r="Q12" s="249"/>
      <c r="R12" s="37"/>
      <c r="S12" s="38"/>
      <c r="T12" s="38"/>
      <c r="U12" s="38"/>
      <c r="V12" s="38" t="str">
        <f>IF(ISBLANK('sujet '!K8),"",IF(ISBLANK(N11),"","durée"))</f>
        <v>durée</v>
      </c>
      <c r="W12" s="38"/>
      <c r="X12" s="38"/>
      <c r="Y12" s="38" t="str">
        <f>IF(ISBLANK('sujet '!K8),"",IF(ISBLANK(N11),"",recettes!V26))</f>
        <v>8 mn en première vitesse</v>
      </c>
      <c r="Z12" s="38"/>
      <c r="AA12" s="38"/>
      <c r="AB12" s="38"/>
      <c r="AC12" s="38"/>
      <c r="AD12" s="38"/>
      <c r="AE12" s="38"/>
      <c r="AF12" s="38"/>
      <c r="AG12" s="38"/>
      <c r="AH12" s="38"/>
      <c r="AI12" s="38"/>
      <c r="AJ12" s="38"/>
      <c r="AK12" s="38"/>
      <c r="AL12" s="38"/>
      <c r="AM12" s="38"/>
      <c r="AN12" s="38"/>
      <c r="AO12" s="39"/>
    </row>
    <row r="13" spans="1:41" ht="12.75">
      <c r="A13" s="201" t="s">
        <v>4</v>
      </c>
      <c r="B13" s="202"/>
      <c r="C13" s="58"/>
      <c r="D13" s="59"/>
      <c r="E13" s="203" t="s">
        <v>5</v>
      </c>
      <c r="F13" s="204"/>
      <c r="G13" s="204"/>
      <c r="H13" s="204"/>
      <c r="I13" s="204"/>
      <c r="J13" s="205"/>
      <c r="K13" s="187" t="str">
        <f>IF(N13=0,"","eau")</f>
        <v>eau</v>
      </c>
      <c r="L13" s="188"/>
      <c r="M13" s="188"/>
      <c r="N13" s="248">
        <f>IF(ISBLANK('sujet '!K8),"",(N$11+N$12)/recettes!V$10*recettes!V11)</f>
        <v>500</v>
      </c>
      <c r="O13" s="248"/>
      <c r="P13" s="248"/>
      <c r="Q13" s="249"/>
      <c r="R13" s="155"/>
      <c r="Y13" s="38">
        <f>IF(ISBLANK('sujet '!K8),"",IF(ISBLANK(N11),"",recettes!V27))</f>
        <v>0</v>
      </c>
      <c r="AO13" s="156"/>
    </row>
    <row r="14" spans="1:41" ht="14.25" customHeight="1">
      <c r="A14" s="203" t="s">
        <v>6</v>
      </c>
      <c r="B14" s="204"/>
      <c r="C14" s="206">
        <f>IF(OR(ISBLANK($B$5),ISBLANK($D$5)),"",HLOOKUP(CONCATENATE($B$5,$D$5),paintf,5))</f>
        <v>1000</v>
      </c>
      <c r="D14" s="206"/>
      <c r="E14" s="24"/>
      <c r="F14" s="30"/>
      <c r="G14" s="166">
        <f>IF(OR(ISBLANK(B5),ISBLANK(D5)),"",(C$7*F$7+C$8*F$8+C$9*F$9+C$10*F$10)/C$19*C14/1000)</f>
        <v>9.08713692946058</v>
      </c>
      <c r="H14" s="30"/>
      <c r="I14" s="30">
        <f>IF(D5="poolish",I15,"")</f>
      </c>
      <c r="J14" s="31">
        <f>IF(D5="poolish",G14-I14,"")</f>
      </c>
      <c r="K14" s="187" t="str">
        <f>IF(N14=0,"","sel")</f>
        <v>sel</v>
      </c>
      <c r="L14" s="188"/>
      <c r="M14" s="188"/>
      <c r="N14" s="248">
        <f>IF(ISBLANK('sujet '!K8),"",(N$11+N$12)/recettes!V$10*recettes!V12)</f>
        <v>20</v>
      </c>
      <c r="O14" s="248"/>
      <c r="P14" s="248"/>
      <c r="Q14" s="249"/>
      <c r="R14" s="37"/>
      <c r="S14" s="38"/>
      <c r="T14" s="38"/>
      <c r="U14" s="38"/>
      <c r="V14" s="38" t="str">
        <f>IF(ISBLANK('sujet '!K8),"",IF(ISBLANK(N11),"","consist."))</f>
        <v>consist.</v>
      </c>
      <c r="W14" s="38"/>
      <c r="X14" s="38"/>
      <c r="Y14" s="38" t="str">
        <f>IF(ISBLANK('sujet '!K8),"",IF(ISBLANK(N11),"","bâtarde/ferme"))</f>
        <v>bâtarde/ferme</v>
      </c>
      <c r="Z14" s="38"/>
      <c r="AA14" s="38"/>
      <c r="AB14" s="38"/>
      <c r="AC14" s="38"/>
      <c r="AD14" s="38"/>
      <c r="AE14" s="38"/>
      <c r="AF14" s="38"/>
      <c r="AG14" s="38"/>
      <c r="AH14" s="38"/>
      <c r="AI14" s="38"/>
      <c r="AJ14" s="38"/>
      <c r="AK14" s="38"/>
      <c r="AL14" s="38"/>
      <c r="AM14" s="38"/>
      <c r="AN14" s="38"/>
      <c r="AO14" s="39"/>
    </row>
    <row r="15" spans="1:41" ht="12.75">
      <c r="A15" s="203" t="s">
        <v>7</v>
      </c>
      <c r="B15" s="204"/>
      <c r="C15" s="206">
        <f>IF(OR(ISBLANK($B$5),ISBLANK($D$5)),"",HLOOKUP(CONCATENATE($B$5,$D$5),paintf,11))</f>
        <v>650</v>
      </c>
      <c r="D15" s="206"/>
      <c r="E15" s="24"/>
      <c r="F15" s="30"/>
      <c r="G15" s="166">
        <f>IF(OR(ISBLANK(B5),ISBLANK(D5)),"",((C$7*F$7+C$8*F$8+C$9*F$9+C$10*F$10)/C$19*C15/1000))</f>
        <v>5.906639004149378</v>
      </c>
      <c r="H15" s="30"/>
      <c r="I15" s="30">
        <f>IF(D5="poolish",G15/2,"")</f>
      </c>
      <c r="J15" s="31">
        <f>IF(D5="poolish",I15,"")</f>
      </c>
      <c r="K15" s="187" t="str">
        <f>IF(N15=0,"","levure")</f>
        <v>levure</v>
      </c>
      <c r="L15" s="188"/>
      <c r="M15" s="188"/>
      <c r="N15" s="248">
        <f>IF(ISBLANK('sujet '!K8),"",(N$11+N$12)/recettes!V$10*recettes!V13)</f>
        <v>30</v>
      </c>
      <c r="O15" s="248"/>
      <c r="P15" s="248"/>
      <c r="Q15" s="249"/>
      <c r="R15" s="37" t="str">
        <f>IF(ISBLANK('sujet '!K8),"",IF(ISBLANK(N11),"","pointage :"))</f>
        <v>pointage :</v>
      </c>
      <c r="S15" s="38"/>
      <c r="T15" s="38"/>
      <c r="U15" s="38"/>
      <c r="V15" s="38" t="str">
        <f>IF(ISBLANK('sujet '!K8),"",IF(ISBLANK(N11),"",recettes!V29))</f>
        <v>30 mn </v>
      </c>
      <c r="W15" s="38"/>
      <c r="X15" s="38"/>
      <c r="Y15" s="38"/>
      <c r="Z15" s="38"/>
      <c r="AA15" s="38"/>
      <c r="AB15" s="38"/>
      <c r="AC15" s="38"/>
      <c r="AD15" s="38"/>
      <c r="AE15" s="38"/>
      <c r="AF15" s="38">
        <f>IF(ISBLANK(X11),"",recettes!AF29)</f>
      </c>
      <c r="AG15" s="38"/>
      <c r="AH15" s="38"/>
      <c r="AI15" s="38"/>
      <c r="AJ15" s="38"/>
      <c r="AK15" s="38"/>
      <c r="AL15" s="38"/>
      <c r="AM15" s="38"/>
      <c r="AN15" s="38"/>
      <c r="AO15" s="39"/>
    </row>
    <row r="16" spans="1:41" ht="12.75">
      <c r="A16" s="203" t="s">
        <v>8</v>
      </c>
      <c r="B16" s="204"/>
      <c r="C16" s="206">
        <f>IF(OR(ISBLANK($B$5),ISBLANK($D$5)),"",HLOOKUP(CONCATENATE($B$5,$D$5),paintf,12))</f>
        <v>18</v>
      </c>
      <c r="D16" s="206"/>
      <c r="E16" s="24"/>
      <c r="F16" s="30"/>
      <c r="G16" s="166">
        <f>IF(OR(ISBLANK(B5),ISBLANK(D5)),"",((C$7*F$7+C$8*F$8+C$9*F$9+C$10*F$10)/C$19*C16/1000))</f>
        <v>0.16356846473029046</v>
      </c>
      <c r="H16" s="30"/>
      <c r="I16" s="30"/>
      <c r="J16" s="31">
        <f>IF(D5="poolish",G16,"")</f>
      </c>
      <c r="K16" s="187" t="str">
        <f>IF(N16=0,"","sucre")</f>
        <v>sucre</v>
      </c>
      <c r="L16" s="188"/>
      <c r="M16" s="188"/>
      <c r="N16" s="248">
        <f>IF(ISBLANK('sujet '!K8),"",(N$11+N$12)/recettes!V$10*recettes!V14)</f>
        <v>120</v>
      </c>
      <c r="O16" s="248"/>
      <c r="P16" s="248"/>
      <c r="Q16" s="249"/>
      <c r="R16" s="37" t="str">
        <f>IF(ISBLANK('sujet '!K8),"",IF(ISBLANK(N11),"","tourage :"))</f>
        <v>tourage :</v>
      </c>
      <c r="S16" s="38"/>
      <c r="T16" s="38"/>
      <c r="U16" s="38"/>
      <c r="V16" s="40" t="str">
        <f>IF(ISBLANK('sujet '!K8),"",IF(ISBLANK(N11),"","au choix du candidat(e)"))</f>
        <v>au choix du candidat(e)</v>
      </c>
      <c r="W16" s="38"/>
      <c r="X16" s="38"/>
      <c r="Y16" s="38"/>
      <c r="Z16" s="38"/>
      <c r="AA16" s="38"/>
      <c r="AB16" s="38"/>
      <c r="AC16" s="38"/>
      <c r="AD16" s="38"/>
      <c r="AE16" s="38"/>
      <c r="AF16" s="40"/>
      <c r="AG16" s="38"/>
      <c r="AH16" s="38"/>
      <c r="AI16" s="38"/>
      <c r="AJ16" s="38"/>
      <c r="AK16" s="38"/>
      <c r="AL16" s="38"/>
      <c r="AM16" s="38"/>
      <c r="AN16" s="38"/>
      <c r="AO16" s="39"/>
    </row>
    <row r="17" spans="1:41" ht="12.75">
      <c r="A17" s="203" t="s">
        <v>9</v>
      </c>
      <c r="B17" s="204"/>
      <c r="C17" s="206">
        <f>IF(OR(ISBLANK($B$5),ISBLANK($D$5)),"",HLOOKUP(CONCATENATE($B$5,$D$5),paintf,13))</f>
        <v>10</v>
      </c>
      <c r="D17" s="206"/>
      <c r="E17" s="24"/>
      <c r="F17" s="30"/>
      <c r="G17" s="166">
        <f>IF(OR(ISBLANK(B5),ISBLANK(D5)),"",((C$7*F$7+C$8*F$8+C$9*F$9+C$10*F$10)/C$19*C17/1000))</f>
        <v>0.09087136929460582</v>
      </c>
      <c r="H17" s="30"/>
      <c r="I17" s="30">
        <f>IF(D5="poolish",G17,"")</f>
      </c>
      <c r="J17" s="31"/>
      <c r="K17" s="187" t="str">
        <f>IF(N17=0,"","oeufs")</f>
        <v>oeufs</v>
      </c>
      <c r="L17" s="188"/>
      <c r="M17" s="188"/>
      <c r="N17" s="248">
        <f>IF(ISBLANK('sujet '!K8),"",(N$11+N$12)/recettes!V$10*recettes!V15)</f>
        <v>50</v>
      </c>
      <c r="O17" s="248"/>
      <c r="P17" s="248"/>
      <c r="Q17" s="249"/>
      <c r="R17" s="37" t="str">
        <f>IF(ISBLANK('sujet '!K8),"",IF(ISBLANK(N11),"","apprêt :"))</f>
        <v>apprêt :</v>
      </c>
      <c r="S17" s="38"/>
      <c r="T17" s="38"/>
      <c r="U17" s="38"/>
      <c r="V17" s="38" t="str">
        <f>IF(ISBLANK('sujet '!K8),"",IF(ISBLANK(N11),"",recettes!V30))</f>
        <v>2 h</v>
      </c>
      <c r="W17" s="38"/>
      <c r="X17" s="38"/>
      <c r="Y17" s="38"/>
      <c r="Z17" s="38"/>
      <c r="AA17" s="38"/>
      <c r="AB17" s="38"/>
      <c r="AC17" s="38"/>
      <c r="AD17" s="38"/>
      <c r="AE17" s="38"/>
      <c r="AF17" s="38"/>
      <c r="AG17" s="38"/>
      <c r="AH17" s="38"/>
      <c r="AI17" s="38"/>
      <c r="AJ17" s="38"/>
      <c r="AK17" s="38"/>
      <c r="AL17" s="38"/>
      <c r="AM17" s="38"/>
      <c r="AN17" s="38"/>
      <c r="AO17" s="39"/>
    </row>
    <row r="18" spans="1:41" ht="12.75">
      <c r="A18" s="203" t="str">
        <f>IF(ISBLANK(D5),"",IF(OR(D5="poolish",D5="levure"),"",IF(D5="pâte fermentée","pâte fermentée","levain")))</f>
        <v>pâte fermentée</v>
      </c>
      <c r="B18" s="204"/>
      <c r="C18" s="206">
        <f>IF(OR(ISBLANK($B$5),ISBLANK($D$5)),"",HLOOKUP(CONCATENATE($B$5,$D$5),paintf,20))</f>
        <v>250</v>
      </c>
      <c r="D18" s="206"/>
      <c r="E18" s="24"/>
      <c r="F18" s="30"/>
      <c r="G18" s="166">
        <f>IF(OR(ISBLANK(B5),ISBLANK(D5)),"",((C$7*F$7+C$8*F$8+C$9*F$9+C$10*F$10)/C$19*C18/1000))</f>
        <v>2.271784232365145</v>
      </c>
      <c r="H18" s="30"/>
      <c r="I18" s="30"/>
      <c r="J18" s="31"/>
      <c r="K18" s="187" t="str">
        <f>IF(N18=0,"","poudre de lait")</f>
        <v>poudre de lait</v>
      </c>
      <c r="L18" s="188"/>
      <c r="M18" s="188"/>
      <c r="N18" s="248">
        <f>IF(ISBLANK('sujet '!K8),"",(N$11+N$12)/recettes!V$10*recettes!V17)</f>
        <v>50</v>
      </c>
      <c r="O18" s="248"/>
      <c r="P18" s="248"/>
      <c r="Q18" s="249"/>
      <c r="R18" s="37" t="str">
        <f>IF(ISBLANK('sujet '!K8),"",IF(ISBLANK(N11),"","cuisson :"))</f>
        <v>cuisson :</v>
      </c>
      <c r="S18" s="38"/>
      <c r="T18" s="38"/>
      <c r="U18" s="38"/>
      <c r="V18" s="38" t="str">
        <f>IF(ISBLANK('sujet '!K8),"",IF(ISBLANK(N11),"",recettes!V31))</f>
        <v>selon équipement</v>
      </c>
      <c r="W18" s="38"/>
      <c r="X18" s="38"/>
      <c r="Y18" s="38"/>
      <c r="Z18" s="38"/>
      <c r="AA18" s="38"/>
      <c r="AB18" s="38"/>
      <c r="AC18" s="38"/>
      <c r="AD18" s="38"/>
      <c r="AE18" s="38"/>
      <c r="AF18" s="38"/>
      <c r="AG18" s="38"/>
      <c r="AH18" s="38"/>
      <c r="AI18" s="38"/>
      <c r="AJ18" s="38"/>
      <c r="AK18" s="38"/>
      <c r="AL18" s="38"/>
      <c r="AM18" s="38"/>
      <c r="AN18" s="38"/>
      <c r="AO18" s="39"/>
    </row>
    <row r="19" spans="1:41" ht="12.75">
      <c r="A19" s="200" t="s">
        <v>10</v>
      </c>
      <c r="B19" s="201"/>
      <c r="C19" s="206">
        <f>SUM(C14:D18)</f>
        <v>1928</v>
      </c>
      <c r="D19" s="206"/>
      <c r="E19" s="24"/>
      <c r="F19" s="30"/>
      <c r="G19" s="166">
        <f>SUM(G14:G18)</f>
        <v>17.52</v>
      </c>
      <c r="H19" s="30"/>
      <c r="I19" s="30">
        <f>IF(D5="poolish","poolish","")</f>
      </c>
      <c r="J19" s="31">
        <f>IF(D5="poolish","reste","")</f>
      </c>
      <c r="K19" s="187" t="str">
        <f>IF(N19=0,"","matière grasse")</f>
        <v>matière grasse</v>
      </c>
      <c r="L19" s="188"/>
      <c r="M19" s="188"/>
      <c r="N19" s="248">
        <f>IF(ISBLANK('sujet '!K8),"",(N$11+N$12)/recettes!V$10*recettes!V18)</f>
        <v>500</v>
      </c>
      <c r="O19" s="248"/>
      <c r="P19" s="248"/>
      <c r="Q19" s="249"/>
      <c r="R19" s="41"/>
      <c r="S19" s="42"/>
      <c r="T19" s="42"/>
      <c r="U19" s="42"/>
      <c r="V19" s="42"/>
      <c r="W19" s="42"/>
      <c r="X19" s="42"/>
      <c r="Y19" s="42"/>
      <c r="Z19" s="42"/>
      <c r="AA19" s="42"/>
      <c r="AB19" s="42"/>
      <c r="AC19" s="42"/>
      <c r="AD19" s="42"/>
      <c r="AE19" s="42"/>
      <c r="AF19" s="42"/>
      <c r="AG19" s="42"/>
      <c r="AH19" s="42"/>
      <c r="AI19" s="42"/>
      <c r="AJ19" s="42"/>
      <c r="AK19" s="42"/>
      <c r="AL19" s="42"/>
      <c r="AM19" s="42"/>
      <c r="AN19" s="42"/>
      <c r="AO19" s="43"/>
    </row>
    <row r="20" spans="1:17" ht="12.75">
      <c r="A20" s="62"/>
      <c r="B20" s="62"/>
      <c r="C20" s="62"/>
      <c r="D20" s="62"/>
      <c r="E20" s="62"/>
      <c r="F20" s="62"/>
      <c r="G20" s="62"/>
      <c r="H20" s="62"/>
      <c r="I20" s="62"/>
      <c r="J20" s="62"/>
      <c r="K20" s="60"/>
      <c r="L20" s="60"/>
      <c r="M20" s="60"/>
      <c r="N20" s="60"/>
      <c r="O20" s="60"/>
      <c r="P20" s="60"/>
      <c r="Q20" s="60"/>
    </row>
    <row r="21" spans="1:41" ht="12.75">
      <c r="A21" s="190" t="s">
        <v>11</v>
      </c>
      <c r="B21" s="190"/>
      <c r="C21" s="190"/>
      <c r="D21" s="190"/>
      <c r="E21" s="190"/>
      <c r="F21" s="190"/>
      <c r="G21" s="190"/>
      <c r="H21" s="190"/>
      <c r="I21" s="190"/>
      <c r="J21" s="190"/>
      <c r="K21" s="208" t="s">
        <v>111</v>
      </c>
      <c r="L21" s="209"/>
      <c r="M21" s="209"/>
      <c r="N21" s="209"/>
      <c r="O21" s="209"/>
      <c r="P21" s="209"/>
      <c r="Q21" s="209"/>
      <c r="R21" s="209"/>
      <c r="S21" s="209"/>
      <c r="T21" s="209"/>
      <c r="U21" s="209"/>
      <c r="V21" s="209"/>
      <c r="W21" s="188" t="str">
        <f>IF(ISBLANK('sujet '!L22),"",'sujet '!W21:Z21)</f>
        <v>pain au lait</v>
      </c>
      <c r="X21" s="188"/>
      <c r="Y21" s="188"/>
      <c r="Z21" s="188"/>
      <c r="AA21" s="147" t="s">
        <v>112</v>
      </c>
      <c r="AB21" s="139"/>
      <c r="AC21" s="139"/>
      <c r="AD21" s="139"/>
      <c r="AE21" s="139"/>
      <c r="AF21" s="139"/>
      <c r="AG21" s="139"/>
      <c r="AH21" s="139"/>
      <c r="AI21" s="139"/>
      <c r="AJ21" s="139"/>
      <c r="AK21" s="139"/>
      <c r="AL21" s="139"/>
      <c r="AM21" s="139"/>
      <c r="AN21" s="139"/>
      <c r="AO21" s="47"/>
    </row>
    <row r="22" spans="1:41" ht="12.75">
      <c r="A22" s="201" t="s">
        <v>12</v>
      </c>
      <c r="B22" s="202"/>
      <c r="C22" s="24"/>
      <c r="D22" s="25"/>
      <c r="E22" s="25"/>
      <c r="F22" s="26"/>
      <c r="G22" s="201" t="s">
        <v>18</v>
      </c>
      <c r="H22" s="202"/>
      <c r="I22" s="201"/>
      <c r="J22" s="202"/>
      <c r="K22" s="140" t="s">
        <v>230</v>
      </c>
      <c r="L22" s="204">
        <f>'sujet '!L22:M22</f>
        <v>16</v>
      </c>
      <c r="M22" s="204"/>
      <c r="N22" s="61" t="str">
        <f>IF(ISBLANK('sujet '!L22),"","pièces de 60 g (")</f>
        <v>pièces de 60 g (</v>
      </c>
      <c r="O22" s="61"/>
      <c r="P22" s="61"/>
      <c r="Q22" s="61"/>
      <c r="R22" s="61"/>
      <c r="T22" s="159" t="str">
        <f>'sujet '!S22</f>
        <v>2 formes dont une forme fantaisie)</v>
      </c>
      <c r="U22" s="159"/>
      <c r="V22" s="159"/>
      <c r="W22" s="159"/>
      <c r="X22" s="159"/>
      <c r="Y22" s="159"/>
      <c r="Z22" s="159"/>
      <c r="AA22" s="159"/>
      <c r="AB22" s="159"/>
      <c r="AC22" s="159"/>
      <c r="AD22" s="159"/>
      <c r="AE22" s="159"/>
      <c r="AF22" s="159"/>
      <c r="AG22" s="159"/>
      <c r="AH22" s="159"/>
      <c r="AI22" s="159"/>
      <c r="AJ22" s="159"/>
      <c r="AK22" s="159"/>
      <c r="AL22" s="159"/>
      <c r="AM22" s="159"/>
      <c r="AN22" s="159"/>
      <c r="AO22" s="160"/>
    </row>
    <row r="23" spans="1:41" ht="14.25">
      <c r="A23" s="201" t="s">
        <v>13</v>
      </c>
      <c r="B23" s="202"/>
      <c r="C23" s="187" t="str">
        <f>IF(OR(ISBLANK($B$5),ISBLANK($D$5)),"",HLOOKUP(CONCATENATE($B$5,$D$5),paintf,25))</f>
        <v>60/62° C</v>
      </c>
      <c r="D23" s="188"/>
      <c r="E23" s="188"/>
      <c r="F23" s="210"/>
      <c r="G23" s="201" t="s">
        <v>19</v>
      </c>
      <c r="H23" s="202"/>
      <c r="I23" s="187" t="str">
        <f>IF(OR(ISBLANK($B$5),ISBLANK($D$5)),"",HLOOKUP(CONCATENATE($B$5,$D$5),paintf,26))</f>
        <v>selon équipement</v>
      </c>
      <c r="J23" s="210"/>
      <c r="K23" s="67"/>
      <c r="L23" s="141"/>
      <c r="M23" s="141" t="str">
        <f>IF(ISBLANK('sujet '!L22),"","le reste en grosses pièces ( ")</f>
        <v>le reste en grosses pièces ( </v>
      </c>
      <c r="N23" s="141"/>
      <c r="O23" s="141"/>
      <c r="P23" s="141"/>
      <c r="Q23" s="141"/>
      <c r="R23" s="141"/>
      <c r="S23" s="141"/>
      <c r="T23" s="141"/>
      <c r="U23" s="141"/>
      <c r="W23" s="157" t="str">
        <f>'sujet '!V23</f>
        <v>3 tresses à 3 branches)</v>
      </c>
      <c r="X23" s="157"/>
      <c r="Y23" s="157"/>
      <c r="Z23" s="157"/>
      <c r="AA23" s="157"/>
      <c r="AB23" s="157"/>
      <c r="AC23" s="157"/>
      <c r="AD23" s="157"/>
      <c r="AE23" s="157"/>
      <c r="AF23" s="157"/>
      <c r="AG23" s="157"/>
      <c r="AH23" s="157"/>
      <c r="AI23" s="157"/>
      <c r="AJ23" s="157"/>
      <c r="AK23" s="157"/>
      <c r="AL23" s="157"/>
      <c r="AM23" s="157"/>
      <c r="AN23" s="157"/>
      <c r="AO23" s="158"/>
    </row>
    <row r="24" spans="1:41" ht="12.75">
      <c r="A24" s="201" t="s">
        <v>14</v>
      </c>
      <c r="B24" s="202"/>
      <c r="C24" s="213"/>
      <c r="D24" s="214"/>
      <c r="E24" s="214"/>
      <c r="F24" s="215"/>
      <c r="G24" s="201" t="s">
        <v>20</v>
      </c>
      <c r="H24" s="202"/>
      <c r="I24" s="187" t="str">
        <f>IF(OR(ISBLANK($B$5),ISBLANK($D$5)),"",HLOOKUP(CONCATENATE($B$5,$D$5),paintf,29))</f>
        <v>1 h 30</v>
      </c>
      <c r="J24" s="210"/>
      <c r="K24" s="245" t="s">
        <v>32</v>
      </c>
      <c r="L24" s="246"/>
      <c r="M24" s="246"/>
      <c r="N24" s="246"/>
      <c r="O24" s="246"/>
      <c r="P24" s="246"/>
      <c r="Q24" s="247"/>
      <c r="R24" s="201" t="s">
        <v>31</v>
      </c>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2"/>
    </row>
    <row r="25" spans="1:41" ht="12.75">
      <c r="A25" s="201" t="s">
        <v>15</v>
      </c>
      <c r="B25" s="202"/>
      <c r="C25" s="213"/>
      <c r="D25" s="214"/>
      <c r="E25" s="214"/>
      <c r="F25" s="215"/>
      <c r="G25" s="201" t="s">
        <v>21</v>
      </c>
      <c r="H25" s="202"/>
      <c r="I25" s="187" t="str">
        <f>IF(OR(ISBLANK($B$5),ISBLANK($D$5)),"",HLOOKUP(CONCATENATE($B$5,$D$5),paintf,30))</f>
        <v>1 h 30</v>
      </c>
      <c r="J25" s="210"/>
      <c r="K25" s="187" t="s">
        <v>30</v>
      </c>
      <c r="L25" s="188"/>
      <c r="M25" s="188"/>
      <c r="N25" s="248">
        <f>'sujet '!N25:Q25</f>
        <v>1000</v>
      </c>
      <c r="O25" s="248"/>
      <c r="P25" s="248"/>
      <c r="Q25" s="249"/>
      <c r="R25" s="37" t="str">
        <f>IF(ISBLANK('sujet '!L22),"",IF(ISBLANK(W21),"","pétrissage :"))</f>
        <v>pétrissage :</v>
      </c>
      <c r="S25" s="38"/>
      <c r="T25" s="38"/>
      <c r="U25" s="38"/>
      <c r="V25" s="38" t="str">
        <f>IF(ISBLANK('sujet '!L22),"",IF(ISBLANK(W21),"","TB"))</f>
        <v>TB</v>
      </c>
      <c r="W25" s="38"/>
      <c r="X25" s="38"/>
      <c r="Y25" s="38" t="str">
        <f>IF(ISBLANK('sujet '!L22),"",IF(OR(ISBLANK($W$21),ISBLANK($N$25)),"",HLOOKUP($W$21,pâtelevée,25)))</f>
        <v>50/52° C</v>
      </c>
      <c r="AA25" s="38"/>
      <c r="AB25" s="38"/>
      <c r="AC25" s="38"/>
      <c r="AD25" s="38"/>
      <c r="AE25" s="38"/>
      <c r="AF25" s="38"/>
      <c r="AG25" s="38"/>
      <c r="AH25" s="38"/>
      <c r="AI25" s="38"/>
      <c r="AJ25" s="38"/>
      <c r="AK25" s="38"/>
      <c r="AL25" s="38"/>
      <c r="AM25" s="38"/>
      <c r="AN25" s="38"/>
      <c r="AO25" s="28"/>
    </row>
    <row r="26" spans="1:41" ht="12.75">
      <c r="A26" s="201" t="s">
        <v>16</v>
      </c>
      <c r="B26" s="202"/>
      <c r="C26" s="213">
        <f>IF(OR(ISBLANK(C24),ISBLANK(C25),ISBLANK(B5),ISBLANK(D5)),"",LEFT(C23,2)-(C24+C25))</f>
      </c>
      <c r="D26" s="214"/>
      <c r="E26" s="214"/>
      <c r="F26" s="215"/>
      <c r="G26" s="257" t="s">
        <v>23</v>
      </c>
      <c r="H26" s="258"/>
      <c r="I26" s="261" t="s">
        <v>90</v>
      </c>
      <c r="J26" s="262"/>
      <c r="K26" s="187">
        <f>IF(N26=0,"","gruau")</f>
      </c>
      <c r="L26" s="188"/>
      <c r="M26" s="188"/>
      <c r="N26" s="248">
        <f>IF(ISBLANK('sujet '!K8),"",IF(OR(ISBLANK(W$21),ISBLANK(N$25)),"",N25/HLOOKUP(W$21,pâtelevée,4)*HLOOKUP(W$21,pâtelevée,7)))</f>
        <v>0</v>
      </c>
      <c r="O26" s="248"/>
      <c r="P26" s="248"/>
      <c r="Q26" s="249"/>
      <c r="R26" s="37"/>
      <c r="S26" s="38"/>
      <c r="T26" s="38"/>
      <c r="U26" s="38"/>
      <c r="V26" s="38" t="str">
        <f>IF(ISBLANK('sujet '!L22),"",IF(ISBLANK(W21),"","durée"))</f>
        <v>durée</v>
      </c>
      <c r="W26" s="38"/>
      <c r="X26" s="38"/>
      <c r="Y26" s="38" t="str">
        <f>IF(ISBLANK('sujet '!L22),"",IF(OR(ISBLANK(W$21),ISBLANK(N$25)),"",HLOOKUP(W$21,pâtelevée,26)))</f>
        <v>3 mn en première vitesse/5 mn en deuxième vitesse </v>
      </c>
      <c r="AA26" s="38"/>
      <c r="AB26" s="44"/>
      <c r="AC26" s="44"/>
      <c r="AD26" s="44"/>
      <c r="AE26" s="44"/>
      <c r="AF26" s="44"/>
      <c r="AG26" s="44"/>
      <c r="AH26" s="38"/>
      <c r="AI26" s="38"/>
      <c r="AJ26" s="38"/>
      <c r="AK26" s="38"/>
      <c r="AL26" s="38"/>
      <c r="AM26" s="38"/>
      <c r="AN26" s="38"/>
      <c r="AO26" s="28"/>
    </row>
    <row r="27" spans="1:41" ht="12.75">
      <c r="A27" s="201" t="s">
        <v>17</v>
      </c>
      <c r="B27" s="202"/>
      <c r="C27" s="265" t="s">
        <v>240</v>
      </c>
      <c r="D27" s="266"/>
      <c r="E27" s="266"/>
      <c r="F27" s="267"/>
      <c r="G27" s="259"/>
      <c r="H27" s="260"/>
      <c r="I27" s="263"/>
      <c r="J27" s="264"/>
      <c r="K27" s="187" t="str">
        <f>IF(N27=0,"","eau")</f>
        <v>eau</v>
      </c>
      <c r="L27" s="188"/>
      <c r="M27" s="188"/>
      <c r="N27" s="248">
        <f>IF(ISBLANK('sujet '!K8),"",IF(OR(ISBLANK(W$21),ISBLANK(N$25)),"",N25/HLOOKUP(W$21,pâtelevée,4)*HLOOKUP(W$21,pâtelevée,11)))</f>
        <v>400</v>
      </c>
      <c r="O27" s="248"/>
      <c r="P27" s="248"/>
      <c r="Q27" s="249"/>
      <c r="Y27" s="38" t="str">
        <f>IF(ISBLANK('sujet '!L22),"",IF(OR(ISBLANK(W$21),ISBLANK(N$25)),"",HLOOKUP(W$21,pâtelevée,27)))</f>
        <v>+ 3 mn avec matière grasse</v>
      </c>
      <c r="AO27" s="156"/>
    </row>
    <row r="28" spans="11:41" ht="12.75" customHeight="1">
      <c r="K28" s="187" t="str">
        <f>IF(N28=0,"","sel")</f>
        <v>sel</v>
      </c>
      <c r="L28" s="188"/>
      <c r="M28" s="188"/>
      <c r="N28" s="248">
        <f>IF(ISBLANK('sujet '!K8),"",IF(OR(ISBLANK(W$21),ISBLANK(N$25)),"",N25/HLOOKUP(W$21,pâtelevée,4)*HLOOKUP(W$21,pâtelevée,12)))</f>
        <v>20</v>
      </c>
      <c r="O28" s="248"/>
      <c r="P28" s="248"/>
      <c r="Q28" s="249"/>
      <c r="R28" s="37"/>
      <c r="S28" s="38"/>
      <c r="T28" s="38"/>
      <c r="U28" s="38"/>
      <c r="V28" s="38" t="str">
        <f>IF(ISBLANK('sujet '!L22),"",IF(ISBLANK(W21),"","consist."))</f>
        <v>consist.</v>
      </c>
      <c r="W28" s="38"/>
      <c r="X28" s="38"/>
      <c r="Y28" s="38" t="str">
        <f>IF(ISBLANK('sujet '!L22),"",IF(OR(ISBLANK(W$21),ISBLANK(N$25)),"",HLOOKUP(W$21,pâtelevée,28)))</f>
        <v>douce</v>
      </c>
      <c r="AA28" s="44"/>
      <c r="AB28" s="44"/>
      <c r="AC28" s="44"/>
      <c r="AD28" s="44"/>
      <c r="AE28" s="44"/>
      <c r="AF28" s="44"/>
      <c r="AG28" s="44"/>
      <c r="AH28" s="38"/>
      <c r="AI28" s="38"/>
      <c r="AJ28" s="38"/>
      <c r="AK28" s="38"/>
      <c r="AL28" s="38"/>
      <c r="AM28" s="38"/>
      <c r="AN28" s="38"/>
      <c r="AO28" s="28"/>
    </row>
    <row r="29" spans="3:41" ht="12.75" customHeight="1">
      <c r="C29" s="216" t="s">
        <v>24</v>
      </c>
      <c r="D29" s="217"/>
      <c r="E29" s="217"/>
      <c r="F29" s="268" t="str">
        <f>'sujet '!F29:G29</f>
        <v>campagne</v>
      </c>
      <c r="G29" s="268"/>
      <c r="H29" s="221" t="s">
        <v>25</v>
      </c>
      <c r="K29" s="187" t="str">
        <f>IF(N29=0,"","levure")</f>
        <v>levure</v>
      </c>
      <c r="L29" s="188"/>
      <c r="M29" s="188"/>
      <c r="N29" s="248">
        <f>IF(ISBLANK('sujet '!K8),"",IF(OR(ISBLANK(W$21),ISBLANK(N$25)),"",N25/HLOOKUP(W$21,pâtelevée,4)*HLOOKUP(W$21,pâtelevée,13)))</f>
        <v>30</v>
      </c>
      <c r="O29" s="248"/>
      <c r="P29" s="248"/>
      <c r="Q29" s="249"/>
      <c r="R29" s="37" t="str">
        <f>IF(ISBLANK('sujet '!L22),"",IF(ISBLANK(W21),"","pointage :"))</f>
        <v>pointage :</v>
      </c>
      <c r="S29" s="38"/>
      <c r="T29" s="38"/>
      <c r="U29" s="38"/>
      <c r="V29" s="38" t="str">
        <f>IF(ISBLANK('sujet '!L22),"",IF(OR(ISBLANK($W$21),ISBLANK($N$25)),"",HLOOKUP($W$21,pâtelevée,29)))</f>
        <v>1 h 15</v>
      </c>
      <c r="W29" s="38"/>
      <c r="X29" s="38"/>
      <c r="Y29" s="38"/>
      <c r="Z29" s="38"/>
      <c r="AA29" s="38"/>
      <c r="AB29" s="38"/>
      <c r="AC29" s="38"/>
      <c r="AD29" s="38"/>
      <c r="AE29" s="38"/>
      <c r="AF29" s="38"/>
      <c r="AG29" s="38"/>
      <c r="AH29" s="38"/>
      <c r="AI29" s="38"/>
      <c r="AJ29" s="38"/>
      <c r="AK29" s="38"/>
      <c r="AL29" s="38"/>
      <c r="AM29" s="38"/>
      <c r="AN29" s="38"/>
      <c r="AO29" s="28"/>
    </row>
    <row r="30" spans="3:42" ht="15.75">
      <c r="C30" s="218"/>
      <c r="D30" s="219"/>
      <c r="E30" s="219"/>
      <c r="F30" s="269" t="str">
        <f>'sujet '!$F$30</f>
        <v>pâte fermentée</v>
      </c>
      <c r="G30" s="269"/>
      <c r="H30" s="222"/>
      <c r="K30" s="187" t="str">
        <f>IF(N30=0,"","sucre")</f>
        <v>sucre</v>
      </c>
      <c r="L30" s="188"/>
      <c r="M30" s="188"/>
      <c r="N30" s="248">
        <f>IF(ISBLANK('sujet '!K8),"",IF(OR(ISBLANK(W$21),ISBLANK(N$25)),"",N25/HLOOKUP(W$21,pâtelevée,4)*HLOOKUP(W$21,pâtelevée,14)))</f>
        <v>80</v>
      </c>
      <c r="O30" s="248"/>
      <c r="P30" s="248"/>
      <c r="Q30" s="249"/>
      <c r="R30" s="37" t="str">
        <f>IF(ISBLANK('sujet '!L22),"",IF(ISBLANK(W21),"","apprêt :"))</f>
        <v>apprêt :</v>
      </c>
      <c r="S30" s="38"/>
      <c r="T30" s="38"/>
      <c r="U30" s="38"/>
      <c r="V30" s="38" t="str">
        <f>IF(ISBLANK('sujet '!L22),"",IF(OR(ISBLANK($W$21),ISBLANK($N$25)),"",HLOOKUP($W$21,pâtelevée,30)))</f>
        <v>1 h 30</v>
      </c>
      <c r="W30" s="38"/>
      <c r="X30" s="38"/>
      <c r="Y30" s="38"/>
      <c r="Z30" s="38"/>
      <c r="AA30" s="38"/>
      <c r="AB30" s="38"/>
      <c r="AC30" s="38"/>
      <c r="AD30" s="38"/>
      <c r="AE30" s="38"/>
      <c r="AF30" s="38"/>
      <c r="AG30" s="38"/>
      <c r="AH30" s="38"/>
      <c r="AI30" s="38"/>
      <c r="AJ30" s="38"/>
      <c r="AK30" s="38"/>
      <c r="AL30" s="38"/>
      <c r="AM30" s="38"/>
      <c r="AN30" s="38"/>
      <c r="AO30" s="28"/>
      <c r="AP30" s="62"/>
    </row>
    <row r="31" spans="4:41" ht="12.75">
      <c r="D31" s="63"/>
      <c r="E31" s="63"/>
      <c r="F31" s="56"/>
      <c r="G31" s="56"/>
      <c r="H31" s="62"/>
      <c r="K31" s="187" t="str">
        <f>IF(N31=0,"","oeufs")</f>
        <v>oeufs</v>
      </c>
      <c r="L31" s="188"/>
      <c r="M31" s="188"/>
      <c r="N31" s="248">
        <f>IF(ISBLANK('sujet '!K8),"",IF(OR(ISBLANK(W$21),ISBLANK(N$25)),"",N25/HLOOKUP(W$21,pâtelevée,4)*HLOOKUP(W$21,pâtelevée,15)))</f>
        <v>200</v>
      </c>
      <c r="O31" s="248"/>
      <c r="P31" s="248"/>
      <c r="Q31" s="249"/>
      <c r="R31" s="37" t="str">
        <f>IF(ISBLANK('sujet '!L22),"",IF(ISBLANK(W21),"","cuisson :"))</f>
        <v>cuisson :</v>
      </c>
      <c r="S31" s="38"/>
      <c r="T31" s="38"/>
      <c r="U31" s="38"/>
      <c r="V31" s="38" t="str">
        <f>IF(ISBLANK('sujet '!L22),"",IF(OR(ISBLANK($W$21),ISBLANK($N$25)),"",HLOOKUP($W$21,pâtelevée,31)))</f>
        <v>selon équipement</v>
      </c>
      <c r="W31" s="38"/>
      <c r="X31" s="38"/>
      <c r="Y31" s="38"/>
      <c r="Z31" s="38"/>
      <c r="AA31" s="38"/>
      <c r="AB31" s="38"/>
      <c r="AC31" s="38"/>
      <c r="AD31" s="38"/>
      <c r="AE31" s="38"/>
      <c r="AF31" s="38"/>
      <c r="AG31" s="38"/>
      <c r="AH31" s="38"/>
      <c r="AI31" s="38"/>
      <c r="AJ31" s="38"/>
      <c r="AK31" s="38"/>
      <c r="AL31" s="38"/>
      <c r="AM31" s="38"/>
      <c r="AN31" s="38"/>
      <c r="AO31" s="28"/>
    </row>
    <row r="32" spans="1:41" ht="12.75">
      <c r="A32" s="12" t="s">
        <v>1</v>
      </c>
      <c r="D32" s="109">
        <f>'sujet '!D32</f>
        <v>12</v>
      </c>
      <c r="E32" s="55" t="s">
        <v>241</v>
      </c>
      <c r="F32" s="12" t="s">
        <v>26</v>
      </c>
      <c r="G32" s="152">
        <v>550</v>
      </c>
      <c r="H32" s="12" t="s">
        <v>242</v>
      </c>
      <c r="K32" s="187" t="str">
        <f>IF(N32=0,"","poudre de lait")</f>
        <v>poudre de lait</v>
      </c>
      <c r="L32" s="188"/>
      <c r="M32" s="188"/>
      <c r="N32" s="248">
        <f>IF(ISBLANK('sujet '!K8),"",IF(OR(ISBLANK(W$21),ISBLANK(N$25)),"",N25/HLOOKUP(W$21,pâtelevée,4)*HLOOKUP(W$21,pâtelevée,17)))</f>
        <v>40</v>
      </c>
      <c r="O32" s="248"/>
      <c r="P32" s="248"/>
      <c r="Q32" s="249"/>
      <c r="R32" s="37"/>
      <c r="S32" s="38"/>
      <c r="T32" s="38"/>
      <c r="U32" s="38"/>
      <c r="V32" s="38"/>
      <c r="W32" s="38"/>
      <c r="X32" s="38"/>
      <c r="Y32" s="38"/>
      <c r="Z32" s="38"/>
      <c r="AA32" s="38"/>
      <c r="AB32" s="38"/>
      <c r="AC32" s="38"/>
      <c r="AD32" s="38"/>
      <c r="AE32" s="38"/>
      <c r="AF32" s="38"/>
      <c r="AG32" s="38"/>
      <c r="AH32" s="38"/>
      <c r="AI32" s="38"/>
      <c r="AJ32" s="38"/>
      <c r="AK32" s="38"/>
      <c r="AL32" s="38"/>
      <c r="AM32" s="38"/>
      <c r="AN32" s="38"/>
      <c r="AO32" s="28"/>
    </row>
    <row r="33" spans="1:41" ht="12.75">
      <c r="A33" s="57" t="s">
        <v>28</v>
      </c>
      <c r="K33" s="187" t="str">
        <f>IF(N33=0,"","matière grasse")</f>
        <v>matière grasse</v>
      </c>
      <c r="L33" s="188"/>
      <c r="M33" s="188"/>
      <c r="N33" s="248">
        <f>IF(ISBLANK('sujet '!K8),"",IF(OR(ISBLANK(W$21),ISBLANK(N$25)),"",N25/HLOOKUP(W$21,pâtelevée,4)*HLOOKUP(W$21,pâtelevée,18)))</f>
        <v>200</v>
      </c>
      <c r="O33" s="248"/>
      <c r="P33" s="248"/>
      <c r="Q33" s="249"/>
      <c r="R33" s="41"/>
      <c r="S33" s="42"/>
      <c r="T33" s="42"/>
      <c r="U33" s="42"/>
      <c r="V33" s="42"/>
      <c r="W33" s="42"/>
      <c r="X33" s="42"/>
      <c r="Y33" s="42"/>
      <c r="Z33" s="42"/>
      <c r="AA33" s="42"/>
      <c r="AB33" s="42"/>
      <c r="AC33" s="42"/>
      <c r="AD33" s="42"/>
      <c r="AE33" s="42"/>
      <c r="AF33" s="42"/>
      <c r="AG33" s="42"/>
      <c r="AH33" s="42"/>
      <c r="AI33" s="42"/>
      <c r="AJ33" s="42"/>
      <c r="AK33" s="42"/>
      <c r="AL33" s="42"/>
      <c r="AM33" s="42"/>
      <c r="AN33" s="42"/>
      <c r="AO33" s="29"/>
    </row>
    <row r="34" spans="11:41" ht="12.75">
      <c r="K34" s="250"/>
      <c r="L34" s="250"/>
      <c r="M34" s="250"/>
      <c r="N34" s="250"/>
      <c r="O34" s="250"/>
      <c r="P34" s="250"/>
      <c r="Q34" s="250"/>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row>
    <row r="35" spans="1:10" ht="12.75">
      <c r="A35" s="201" t="s">
        <v>4</v>
      </c>
      <c r="B35" s="202"/>
      <c r="C35" s="24"/>
      <c r="D35" s="26"/>
      <c r="E35" s="203" t="s">
        <v>243</v>
      </c>
      <c r="F35" s="204"/>
      <c r="G35" s="204"/>
      <c r="H35" s="204"/>
      <c r="I35" s="204"/>
      <c r="J35" s="205"/>
    </row>
    <row r="36" spans="1:35" ht="15.75">
      <c r="A36" s="203" t="str">
        <f>IF(C36=0,"","farine type 55")</f>
        <v>farine type 55</v>
      </c>
      <c r="B36" s="204"/>
      <c r="C36" s="206">
        <f>IF(AND(F$30=0,ISTEXT(F$29)),HLOOKUP(CONCATENATE(F$29,"levure"),painsp,4),IF(OR(ISBLANK(F$29),F$30=0),"",HLOOKUP(CONCATENATE(F$29,F$30),painsp,4)))</f>
        <v>900</v>
      </c>
      <c r="D36" s="206"/>
      <c r="E36" s="58"/>
      <c r="F36" s="65"/>
      <c r="G36" s="167">
        <f>(D32*G32)/C$44*C36/1000</f>
        <v>3.126315789473684</v>
      </c>
      <c r="H36" s="65"/>
      <c r="I36" s="65">
        <f>IF(F30="poolish",IF(G38&lt;I39,I39-I38,""),"")</f>
      </c>
      <c r="J36" s="66">
        <f>IF(F30="poolish",IF(I38&lt;I39,G36,IF(I38&lt;I39,G36-I36,G36)),"")</f>
      </c>
      <c r="P36" s="182" t="s">
        <v>48</v>
      </c>
      <c r="Q36" s="197"/>
      <c r="R36" s="197"/>
      <c r="S36" s="197"/>
      <c r="T36" s="197"/>
      <c r="U36" s="197"/>
      <c r="V36" s="197"/>
      <c r="W36" s="197"/>
      <c r="X36" s="197"/>
      <c r="Y36" s="197"/>
      <c r="Z36" s="197"/>
      <c r="AA36" s="197"/>
      <c r="AB36" s="197"/>
      <c r="AC36" s="197"/>
      <c r="AD36" s="197"/>
      <c r="AE36" s="197"/>
      <c r="AF36" s="197"/>
      <c r="AG36" s="197"/>
      <c r="AH36" s="197"/>
      <c r="AI36" s="198"/>
    </row>
    <row r="37" spans="1:10" ht="12.75">
      <c r="A37" s="203">
        <f>IF(C37=0,"","farine type 150")</f>
      </c>
      <c r="B37" s="204"/>
      <c r="C37" s="206">
        <f>IF(AND(F$30=0,ISTEXT(F$29)),HLOOKUP(CONCATENATE(F$29,"levure"),painsp,6),IF(OR(ISBLANK(F$29),F$30=0),"",HLOOKUP(CONCATENATE(F$29,F$30),painsp,6)))</f>
        <v>0</v>
      </c>
      <c r="D37" s="206"/>
      <c r="E37" s="187">
        <f>IF(OR(ISBLANK(J$29),ISBLANK(J$30)),"",IF(AND(ISTEXT(J$29),ISBLANK(C30)),"ze",HLOOKUP(CONCATENATE(J$29,J$30),painsp,6)))</f>
      </c>
      <c r="F37" s="188"/>
      <c r="G37" s="166">
        <f aca="true" t="shared" si="0" ref="G37:G43">(D$32*G$32)/C$44*C37/1000</f>
        <v>0</v>
      </c>
      <c r="H37" s="30"/>
      <c r="I37" s="30"/>
      <c r="J37" s="31"/>
    </row>
    <row r="38" spans="1:11" ht="12.75">
      <c r="A38" s="203" t="str">
        <f>IF(C38=0,"","farine de seigle")</f>
        <v>farine de seigle</v>
      </c>
      <c r="B38" s="204"/>
      <c r="C38" s="206">
        <f>IF(AND(F$30=0,ISTEXT(F$29)),HLOOKUP(CONCATENATE(F$29,"levure"),painsp,8),IF(OR(ISBLANK(F$29),F$30=0),"",HLOOKUP(CONCATENATE(F$29,F$30),painsp,8)))</f>
        <v>100</v>
      </c>
      <c r="D38" s="206"/>
      <c r="E38" s="67"/>
      <c r="F38" s="68"/>
      <c r="G38" s="168">
        <f t="shared" si="0"/>
        <v>0.3473684210526316</v>
      </c>
      <c r="H38" s="68"/>
      <c r="I38" s="68">
        <f>IF(F30="poolish",IF(G38&lt;I39,G38,I39),"")</f>
      </c>
      <c r="J38" s="69">
        <f>IF(F30="poolish",IF(G38&gt;I39,G38-I38,0),"")</f>
      </c>
      <c r="K38" s="53" t="s">
        <v>33</v>
      </c>
    </row>
    <row r="39" spans="1:13" ht="12.75">
      <c r="A39" s="203" t="str">
        <f>IF(C39=0,"","eau")</f>
        <v>eau</v>
      </c>
      <c r="B39" s="204"/>
      <c r="C39" s="206">
        <f>IF(AND(F$30=0,ISTEXT(F$29)),HLOOKUP(CONCATENATE(F$29,"levure"),painsp,11),IF(OR(ISBLANK(F$29),F$30=0),"",HLOOKUP(CONCATENATE(F$29,F$30),painsp,11)))</f>
        <v>620</v>
      </c>
      <c r="D39" s="206"/>
      <c r="E39" s="24"/>
      <c r="F39" s="30"/>
      <c r="G39" s="166">
        <f t="shared" si="0"/>
        <v>2.1536842105263156</v>
      </c>
      <c r="H39" s="30"/>
      <c r="I39" s="30">
        <f>IF(F30="poolish",G39/2,"")</f>
      </c>
      <c r="J39" s="31">
        <f>IF(F30="poolish",I39,"")</f>
      </c>
      <c r="K39" s="64" t="s">
        <v>34</v>
      </c>
      <c r="L39" s="56"/>
      <c r="M39" s="56"/>
    </row>
    <row r="40" spans="1:13" ht="12.75">
      <c r="A40" s="203" t="str">
        <f>IF(C40=0,"","sel")</f>
        <v>sel</v>
      </c>
      <c r="B40" s="204"/>
      <c r="C40" s="206">
        <f>IF(AND(F$30=0,ISTEXT(F$29)),HLOOKUP(CONCATENATE(F$29,"levure"),painsp,12),IF(OR(ISBLANK(F$29),F$30=0),"",HLOOKUP(CONCATENATE(F$29,F$30),painsp,12)))</f>
        <v>20</v>
      </c>
      <c r="D40" s="206"/>
      <c r="E40" s="24"/>
      <c r="F40" s="30"/>
      <c r="G40" s="166">
        <f t="shared" si="0"/>
        <v>0.06947368421052631</v>
      </c>
      <c r="H40" s="30"/>
      <c r="I40" s="30"/>
      <c r="J40" s="31">
        <f>IF(F30="poolish",G40,"")</f>
      </c>
      <c r="K40" s="56"/>
      <c r="L40" s="56"/>
      <c r="M40" s="56"/>
    </row>
    <row r="41" spans="1:41" ht="12.75">
      <c r="A41" s="203" t="str">
        <f>IF(C41=0,"","levure")</f>
        <v>levure</v>
      </c>
      <c r="B41" s="204"/>
      <c r="C41" s="206">
        <f>IF(AND(F$30=0,ISTEXT(F$29)),HLOOKUP(CONCATENATE(F$29,"levure"),painsp,13),IF(OR(ISBLANK(F$29),F$30=0),"",HLOOKUP(CONCATENATE(F$29,F$30),painsp,13)))</f>
        <v>10</v>
      </c>
      <c r="D41" s="206"/>
      <c r="E41" s="24"/>
      <c r="F41" s="30"/>
      <c r="G41" s="166">
        <f t="shared" si="0"/>
        <v>0.034736842105263156</v>
      </c>
      <c r="H41" s="30"/>
      <c r="I41" s="30">
        <f>IF(F30="poolish",G41,"")</f>
      </c>
      <c r="J41" s="31"/>
      <c r="K41" s="16"/>
      <c r="L41" s="47"/>
      <c r="M41" s="62"/>
      <c r="N41" s="19"/>
      <c r="O41" s="22"/>
      <c r="P41" s="22"/>
      <c r="Q41" s="20"/>
      <c r="R41" s="19"/>
      <c r="S41" s="22"/>
      <c r="T41" s="22"/>
      <c r="U41" s="20"/>
      <c r="V41" s="19"/>
      <c r="W41" s="22"/>
      <c r="X41" s="22"/>
      <c r="Y41" s="20"/>
      <c r="Z41" s="19"/>
      <c r="AA41" s="22"/>
      <c r="AB41" s="22"/>
      <c r="AC41" s="20"/>
      <c r="AD41" s="19"/>
      <c r="AE41" s="22"/>
      <c r="AF41" s="22"/>
      <c r="AG41" s="20"/>
      <c r="AH41" s="19"/>
      <c r="AI41" s="22"/>
      <c r="AJ41" s="22"/>
      <c r="AK41" s="20"/>
      <c r="AL41" s="19"/>
      <c r="AM41" s="22"/>
      <c r="AN41" s="22"/>
      <c r="AO41" s="20"/>
    </row>
    <row r="42" spans="1:41" ht="12.75">
      <c r="A42" s="203">
        <f>IF(C42=0,"","gluten")</f>
      </c>
      <c r="B42" s="204"/>
      <c r="C42" s="206">
        <f>IF(AND(F$30=0,ISTEXT(F$29)),HLOOKUP(CONCATENATE(F$29,"levure"),painsp,21),IF(OR(ISBLANK(F$29),F$30=0),"",HLOOKUP(CONCATENATE(F$29,F$30),painsp,21)))</f>
        <v>0</v>
      </c>
      <c r="D42" s="206"/>
      <c r="E42" s="24"/>
      <c r="F42" s="30"/>
      <c r="G42" s="166">
        <f t="shared" si="0"/>
        <v>0</v>
      </c>
      <c r="H42" s="30"/>
      <c r="I42" s="30"/>
      <c r="J42" s="31"/>
      <c r="K42" s="16"/>
      <c r="L42" s="47"/>
      <c r="M42" s="62"/>
      <c r="N42" s="19"/>
      <c r="O42" s="22"/>
      <c r="P42" s="22"/>
      <c r="Q42" s="20"/>
      <c r="R42" s="19"/>
      <c r="S42" s="22"/>
      <c r="T42" s="22"/>
      <c r="U42" s="20"/>
      <c r="V42" s="19"/>
      <c r="W42" s="22"/>
      <c r="X42" s="22"/>
      <c r="Y42" s="20"/>
      <c r="Z42" s="19"/>
      <c r="AA42" s="22"/>
      <c r="AB42" s="22"/>
      <c r="AC42" s="20"/>
      <c r="AD42" s="19"/>
      <c r="AE42" s="22"/>
      <c r="AF42" s="22"/>
      <c r="AG42" s="20"/>
      <c r="AH42" s="19"/>
      <c r="AI42" s="22"/>
      <c r="AJ42" s="22"/>
      <c r="AK42" s="20"/>
      <c r="AL42" s="19"/>
      <c r="AM42" s="22"/>
      <c r="AN42" s="22"/>
      <c r="AO42" s="20"/>
    </row>
    <row r="43" spans="1:41" ht="12.75">
      <c r="A43" s="203" t="str">
        <f>IF(C43=0,"","pâte fermentée")</f>
        <v>pâte fermentée</v>
      </c>
      <c r="B43" s="204"/>
      <c r="C43" s="206">
        <f>IF(AND(F$30=0,ISTEXT(F$29)),HLOOKUP(CONCATENATE(F$29,"levure"),painsp,20),IF(OR(ISBLANK(F$29),F$30=0),"",HLOOKUP(CONCATENATE(F$29,F$30),painsp,20)))</f>
        <v>250</v>
      </c>
      <c r="D43" s="206"/>
      <c r="E43" s="24"/>
      <c r="F43" s="30"/>
      <c r="G43" s="166">
        <f t="shared" si="0"/>
        <v>0.868421052631579</v>
      </c>
      <c r="H43" s="30"/>
      <c r="I43" s="30"/>
      <c r="J43" s="31"/>
      <c r="K43" s="46" t="s">
        <v>35</v>
      </c>
      <c r="L43" s="47"/>
      <c r="M43" s="62"/>
      <c r="N43" s="23"/>
      <c r="P43" s="23" t="s">
        <v>244</v>
      </c>
      <c r="Q43" s="23" t="s">
        <v>244</v>
      </c>
      <c r="R43" s="23"/>
      <c r="S43" s="23"/>
      <c r="T43" s="23" t="s">
        <v>245</v>
      </c>
      <c r="U43" s="23"/>
      <c r="V43" s="23"/>
      <c r="W43" s="23"/>
      <c r="X43" s="23" t="s">
        <v>245</v>
      </c>
      <c r="Y43" s="23" t="s">
        <v>245</v>
      </c>
      <c r="Z43" s="23"/>
      <c r="AA43" s="23"/>
      <c r="AB43" s="23"/>
      <c r="AC43" s="23"/>
      <c r="AD43" s="23"/>
      <c r="AE43" s="23"/>
      <c r="AF43" s="23" t="s">
        <v>246</v>
      </c>
      <c r="AG43" s="23" t="s">
        <v>246</v>
      </c>
      <c r="AH43" s="23" t="s">
        <v>246</v>
      </c>
      <c r="AI43" s="23"/>
      <c r="AJ43" s="23"/>
      <c r="AK43" s="23"/>
      <c r="AL43" s="23"/>
      <c r="AM43" s="23"/>
      <c r="AN43" s="23"/>
      <c r="AO43" s="23"/>
    </row>
    <row r="44" spans="1:41" ht="12.75">
      <c r="A44" s="201" t="s">
        <v>10</v>
      </c>
      <c r="B44" s="202"/>
      <c r="C44" s="206">
        <f>SUM(C36:D43)</f>
        <v>1900</v>
      </c>
      <c r="D44" s="206"/>
      <c r="E44" s="24"/>
      <c r="F44" s="30"/>
      <c r="G44" s="166">
        <f>SUM(G36:G43)</f>
        <v>6.6</v>
      </c>
      <c r="H44" s="30"/>
      <c r="I44" s="30">
        <f>IF(F30="poolish","poolish","")</f>
      </c>
      <c r="J44" s="31">
        <f>IF(F30="poolish","reste","")</f>
      </c>
      <c r="K44" s="16"/>
      <c r="L44" s="47"/>
      <c r="M44" s="62"/>
      <c r="N44" s="19"/>
      <c r="O44" s="22"/>
      <c r="P44" s="22"/>
      <c r="Q44" s="20"/>
      <c r="R44" s="19"/>
      <c r="S44" s="22"/>
      <c r="T44" s="22"/>
      <c r="U44" s="20"/>
      <c r="V44" s="19"/>
      <c r="W44" s="22"/>
      <c r="X44" s="22"/>
      <c r="Y44" s="20"/>
      <c r="Z44" s="19"/>
      <c r="AA44" s="22"/>
      <c r="AB44" s="22"/>
      <c r="AC44" s="20"/>
      <c r="AD44" s="19"/>
      <c r="AE44" s="22"/>
      <c r="AF44" s="22"/>
      <c r="AG44" s="20"/>
      <c r="AH44" s="19"/>
      <c r="AI44" s="22"/>
      <c r="AJ44" s="22"/>
      <c r="AK44" s="20"/>
      <c r="AL44" s="19"/>
      <c r="AM44" s="22"/>
      <c r="AN44" s="22"/>
      <c r="AO44" s="20"/>
    </row>
    <row r="45" spans="11:41" ht="12.75">
      <c r="K45" s="46" t="s">
        <v>36</v>
      </c>
      <c r="L45" s="47"/>
      <c r="M45" s="62"/>
      <c r="N45" s="23"/>
      <c r="O45" s="23"/>
      <c r="P45" s="23"/>
      <c r="Q45" s="23"/>
      <c r="R45" s="23"/>
      <c r="S45" s="23" t="s">
        <v>244</v>
      </c>
      <c r="T45" s="23"/>
      <c r="U45" s="23"/>
      <c r="V45" s="23"/>
      <c r="W45" s="23"/>
      <c r="X45" s="23"/>
      <c r="Y45" s="23"/>
      <c r="Z45" s="23" t="s">
        <v>245</v>
      </c>
      <c r="AA45" s="23"/>
      <c r="AB45" s="23" t="s">
        <v>245</v>
      </c>
      <c r="AC45" s="23" t="s">
        <v>245</v>
      </c>
      <c r="AD45" s="23"/>
      <c r="AE45" s="23"/>
      <c r="AF45" s="23"/>
      <c r="AG45" s="23"/>
      <c r="AH45" s="23"/>
      <c r="AI45" s="23" t="s">
        <v>246</v>
      </c>
      <c r="AJ45" s="23" t="s">
        <v>246</v>
      </c>
      <c r="AK45" s="23" t="s">
        <v>246</v>
      </c>
      <c r="AL45" s="23"/>
      <c r="AM45" s="23"/>
      <c r="AN45" s="23"/>
      <c r="AO45" s="23"/>
    </row>
    <row r="46" spans="1:41" ht="12.75">
      <c r="A46" s="190" t="s">
        <v>11</v>
      </c>
      <c r="B46" s="190"/>
      <c r="C46" s="190"/>
      <c r="D46" s="190"/>
      <c r="E46" s="190"/>
      <c r="F46" s="190"/>
      <c r="G46" s="190"/>
      <c r="H46" s="190"/>
      <c r="I46" s="190"/>
      <c r="J46" s="190"/>
      <c r="K46" s="16"/>
      <c r="L46" s="47"/>
      <c r="M46" s="62"/>
      <c r="N46" s="19"/>
      <c r="O46" s="22"/>
      <c r="P46" s="22"/>
      <c r="Q46" s="20"/>
      <c r="R46" s="19"/>
      <c r="S46" s="22"/>
      <c r="T46" s="22"/>
      <c r="U46" s="20"/>
      <c r="V46" s="19"/>
      <c r="W46" s="22"/>
      <c r="X46" s="22"/>
      <c r="Y46" s="20"/>
      <c r="Z46" s="19"/>
      <c r="AA46" s="22"/>
      <c r="AB46" s="22"/>
      <c r="AC46" s="20"/>
      <c r="AD46" s="19"/>
      <c r="AE46" s="22"/>
      <c r="AF46" s="22"/>
      <c r="AG46" s="20"/>
      <c r="AH46" s="19"/>
      <c r="AI46" s="22"/>
      <c r="AJ46" s="22"/>
      <c r="AK46" s="20"/>
      <c r="AL46" s="19"/>
      <c r="AM46" s="22"/>
      <c r="AN46" s="22"/>
      <c r="AO46" s="20"/>
    </row>
    <row r="47" spans="1:41" ht="12.75">
      <c r="A47" s="201" t="s">
        <v>12</v>
      </c>
      <c r="B47" s="202"/>
      <c r="C47" s="24"/>
      <c r="D47" s="25"/>
      <c r="E47" s="25"/>
      <c r="F47" s="26"/>
      <c r="G47" s="201" t="s">
        <v>18</v>
      </c>
      <c r="H47" s="202"/>
      <c r="I47" s="201"/>
      <c r="J47" s="202"/>
      <c r="K47" s="46" t="s">
        <v>37</v>
      </c>
      <c r="L47" s="47"/>
      <c r="M47" s="62"/>
      <c r="N47" s="23"/>
      <c r="O47" s="23" t="s">
        <v>244</v>
      </c>
      <c r="P47" s="23"/>
      <c r="Q47" s="23"/>
      <c r="R47" s="12" t="s">
        <v>245</v>
      </c>
      <c r="S47" s="23"/>
      <c r="T47" s="23"/>
      <c r="U47" s="23"/>
      <c r="V47" s="23" t="s">
        <v>245</v>
      </c>
      <c r="W47" s="23" t="s">
        <v>245</v>
      </c>
      <c r="X47" s="23"/>
      <c r="Y47" s="23"/>
      <c r="Z47" s="23"/>
      <c r="AA47" s="23"/>
      <c r="AB47" s="23"/>
      <c r="AC47" s="23"/>
      <c r="AD47" s="23"/>
      <c r="AE47" s="23" t="s">
        <v>246</v>
      </c>
      <c r="AF47" s="23" t="s">
        <v>246</v>
      </c>
      <c r="AG47" s="23"/>
      <c r="AH47" s="23"/>
      <c r="AI47" s="23"/>
      <c r="AJ47" s="23"/>
      <c r="AK47" s="23"/>
      <c r="AL47" s="23"/>
      <c r="AM47" s="23"/>
      <c r="AN47" s="23"/>
      <c r="AO47" s="23"/>
    </row>
    <row r="48" spans="1:41" ht="14.25">
      <c r="A48" s="201" t="s">
        <v>13</v>
      </c>
      <c r="B48" s="202"/>
      <c r="C48" s="187" t="str">
        <f>IF(AND(F$30=0,ISTEXT(F$29)),HLOOKUP(CONCATENATE(F$29,"levure"),painsp,25),IF(OR(ISBLANK(F$29),F$30=0),"",HLOOKUP(CONCATENATE(F$29,F$30),painsp,25)))</f>
        <v>60/62° C</v>
      </c>
      <c r="D48" s="188"/>
      <c r="E48" s="188"/>
      <c r="F48" s="210"/>
      <c r="G48" s="201" t="s">
        <v>19</v>
      </c>
      <c r="H48" s="202"/>
      <c r="I48" s="187" t="str">
        <f>IF(AND(F$30=0,ISTEXT(F$29)),HLOOKUP(CONCATENATE(F$29,"levure"),painsp,26),IF(OR(ISBLANK(F$29),F$30=0),"",HLOOKUP(CONCATENATE(F$29,F$30),painsp,26)))</f>
        <v>selon équipement</v>
      </c>
      <c r="J48" s="210"/>
      <c r="K48" s="16"/>
      <c r="L48" s="47"/>
      <c r="M48" s="62"/>
      <c r="N48" s="19"/>
      <c r="O48" s="22"/>
      <c r="P48" s="22"/>
      <c r="Q48" s="20"/>
      <c r="R48" s="19"/>
      <c r="S48" s="22"/>
      <c r="T48" s="22"/>
      <c r="U48" s="20"/>
      <c r="V48" s="19"/>
      <c r="W48" s="22"/>
      <c r="X48" s="22"/>
      <c r="Y48" s="20"/>
      <c r="Z48" s="19"/>
      <c r="AA48" s="22"/>
      <c r="AB48" s="22"/>
      <c r="AC48" s="20"/>
      <c r="AD48" s="19"/>
      <c r="AE48" s="22"/>
      <c r="AF48" s="22"/>
      <c r="AG48" s="20"/>
      <c r="AH48" s="19"/>
      <c r="AI48" s="22"/>
      <c r="AJ48" s="22"/>
      <c r="AK48" s="20"/>
      <c r="AL48" s="19"/>
      <c r="AM48" s="22"/>
      <c r="AN48" s="22"/>
      <c r="AO48" s="20"/>
    </row>
    <row r="49" spans="1:41" ht="12.75">
      <c r="A49" s="201" t="s">
        <v>14</v>
      </c>
      <c r="B49" s="202"/>
      <c r="C49" s="213"/>
      <c r="D49" s="214"/>
      <c r="E49" s="214"/>
      <c r="F49" s="215"/>
      <c r="G49" s="201" t="s">
        <v>20</v>
      </c>
      <c r="H49" s="202"/>
      <c r="I49" s="187" t="str">
        <f>IF(AND(F$30=0,ISTEXT(F$29)),HLOOKUP(CONCATENATE(F$29,"levure"),painsp,29),IF(OR(ISBLANK(F$29),F$30=0),"",HLOOKUP(CONCATENATE(F$29,F$30),painsp,29)))</f>
        <v>1 h 30</v>
      </c>
      <c r="J49" s="210"/>
      <c r="K49" s="46" t="s">
        <v>38</v>
      </c>
      <c r="L49" s="47"/>
      <c r="M49" s="56"/>
      <c r="N49" s="23"/>
      <c r="O49" s="23"/>
      <c r="P49" s="23"/>
      <c r="Q49" s="23"/>
      <c r="R49" s="23"/>
      <c r="S49" s="23"/>
      <c r="T49" s="23"/>
      <c r="U49" s="23" t="s">
        <v>244</v>
      </c>
      <c r="V49" s="23"/>
      <c r="W49" s="23"/>
      <c r="X49" s="23"/>
      <c r="Y49" s="23"/>
      <c r="Z49" s="23"/>
      <c r="AA49" s="23" t="s">
        <v>245</v>
      </c>
      <c r="AB49" s="23"/>
      <c r="AC49" s="23"/>
      <c r="AD49" s="23" t="s">
        <v>245</v>
      </c>
      <c r="AE49" s="23" t="s">
        <v>245</v>
      </c>
      <c r="AF49" s="23"/>
      <c r="AG49" s="23"/>
      <c r="AH49" s="23"/>
      <c r="AI49" s="23"/>
      <c r="AJ49" s="23"/>
      <c r="AK49" s="23"/>
      <c r="AL49" s="23" t="s">
        <v>246</v>
      </c>
      <c r="AM49" s="23" t="s">
        <v>246</v>
      </c>
      <c r="AN49" s="23" t="s">
        <v>246</v>
      </c>
      <c r="AO49" s="23"/>
    </row>
    <row r="50" spans="1:13" ht="12.75">
      <c r="A50" s="201" t="s">
        <v>15</v>
      </c>
      <c r="B50" s="202"/>
      <c r="C50" s="213"/>
      <c r="D50" s="214"/>
      <c r="E50" s="214"/>
      <c r="F50" s="215"/>
      <c r="G50" s="201" t="s">
        <v>21</v>
      </c>
      <c r="H50" s="202"/>
      <c r="I50" s="187" t="str">
        <f>IF(AND(F$30=0,ISTEXT(F$29)),HLOOKUP(CONCATENATE(F$29,"levure"),painsp,30),IF(OR(ISBLANK(F$29),F$30=0),"",HLOOKUP(CONCATENATE(F$29,F$30),painsp,30)))</f>
        <v>2 h</v>
      </c>
      <c r="J50" s="210"/>
      <c r="K50" s="56"/>
      <c r="L50" s="56"/>
      <c r="M50" s="56"/>
    </row>
    <row r="51" spans="1:12" ht="12.75">
      <c r="A51" s="201" t="s">
        <v>16</v>
      </c>
      <c r="B51" s="202"/>
      <c r="C51" s="213"/>
      <c r="D51" s="214"/>
      <c r="E51" s="214"/>
      <c r="F51" s="215"/>
      <c r="G51" s="257" t="s">
        <v>23</v>
      </c>
      <c r="H51" s="258"/>
      <c r="I51" s="261" t="s">
        <v>90</v>
      </c>
      <c r="J51" s="262"/>
      <c r="K51" s="62" t="s">
        <v>39</v>
      </c>
      <c r="L51" s="62" t="s">
        <v>40</v>
      </c>
    </row>
    <row r="52" spans="1:12" ht="12.75">
      <c r="A52" s="201" t="s">
        <v>17</v>
      </c>
      <c r="B52" s="202"/>
      <c r="C52" s="265" t="s">
        <v>240</v>
      </c>
      <c r="D52" s="266"/>
      <c r="E52" s="266"/>
      <c r="F52" s="267"/>
      <c r="G52" s="259"/>
      <c r="H52" s="260"/>
      <c r="I52" s="263"/>
      <c r="J52" s="264"/>
      <c r="K52" s="62"/>
      <c r="L52" s="62" t="s">
        <v>41</v>
      </c>
    </row>
    <row r="53" spans="11:12" ht="12.75">
      <c r="K53" s="62"/>
      <c r="L53" s="62" t="s">
        <v>42</v>
      </c>
    </row>
    <row r="54" spans="1:12" ht="17.25">
      <c r="A54" s="273"/>
      <c r="B54" s="273"/>
      <c r="C54" s="273"/>
      <c r="D54" s="273"/>
      <c r="E54" s="273"/>
      <c r="F54" s="273"/>
      <c r="G54" s="273"/>
      <c r="H54" s="141"/>
      <c r="I54" s="172"/>
      <c r="J54" s="73"/>
      <c r="K54" s="62"/>
      <c r="L54" s="70" t="s">
        <v>43</v>
      </c>
    </row>
    <row r="55" spans="1:12" ht="15">
      <c r="A55" s="72" t="s">
        <v>44</v>
      </c>
      <c r="B55" s="73"/>
      <c r="C55" s="73"/>
      <c r="D55" s="73"/>
      <c r="E55" s="73"/>
      <c r="F55" s="73"/>
      <c r="G55" s="73"/>
      <c r="H55" s="169"/>
      <c r="I55" s="170" t="s">
        <v>137</v>
      </c>
      <c r="J55" s="171">
        <f>'sujet '!J55</f>
        <v>2008</v>
      </c>
      <c r="L55" s="10"/>
    </row>
    <row r="56" spans="1:12" ht="15">
      <c r="A56" s="72" t="s">
        <v>142</v>
      </c>
      <c r="B56" s="73"/>
      <c r="C56" s="73"/>
      <c r="D56" s="73"/>
      <c r="E56" s="73"/>
      <c r="F56" s="73"/>
      <c r="G56" s="73"/>
      <c r="H56" s="74"/>
      <c r="I56" s="74"/>
      <c r="J56" s="75"/>
      <c r="L56" s="10"/>
    </row>
    <row r="57" spans="1:12" ht="12.75">
      <c r="A57" s="232" t="s">
        <v>138</v>
      </c>
      <c r="B57" s="233"/>
      <c r="C57" s="233"/>
      <c r="D57" s="233"/>
      <c r="E57" s="234"/>
      <c r="F57" s="232" t="s">
        <v>139</v>
      </c>
      <c r="G57" s="234"/>
      <c r="H57" s="224" t="s">
        <v>140</v>
      </c>
      <c r="I57" s="225"/>
      <c r="J57" s="271">
        <f>'sujet '!J57:J58</f>
        <v>1</v>
      </c>
      <c r="L57" s="10"/>
    </row>
    <row r="58" spans="1:10" ht="15">
      <c r="A58" s="228" t="s">
        <v>141</v>
      </c>
      <c r="B58" s="229"/>
      <c r="C58" s="229"/>
      <c r="D58" s="229"/>
      <c r="E58" s="230"/>
      <c r="F58" s="228">
        <v>12</v>
      </c>
      <c r="G58" s="229"/>
      <c r="H58" s="226"/>
      <c r="I58" s="227"/>
      <c r="J58" s="272"/>
    </row>
  </sheetData>
  <sheetProtection/>
  <mergeCells count="142">
    <mergeCell ref="A16:B16"/>
    <mergeCell ref="A22:B22"/>
    <mergeCell ref="A36:B36"/>
    <mergeCell ref="C36:D36"/>
    <mergeCell ref="A35:B35"/>
    <mergeCell ref="A25:B25"/>
    <mergeCell ref="A26:B26"/>
    <mergeCell ref="C18:D18"/>
    <mergeCell ref="A23:B23"/>
    <mergeCell ref="C19:D19"/>
    <mergeCell ref="C24:F24"/>
    <mergeCell ref="C17:D17"/>
    <mergeCell ref="C23:F23"/>
    <mergeCell ref="A54:G54"/>
    <mergeCell ref="E35:J35"/>
    <mergeCell ref="H29:H30"/>
    <mergeCell ref="C25:F25"/>
    <mergeCell ref="C26:F26"/>
    <mergeCell ref="A27:B27"/>
    <mergeCell ref="A21:J21"/>
    <mergeCell ref="A17:B17"/>
    <mergeCell ref="A18:B18"/>
    <mergeCell ref="A19:B19"/>
    <mergeCell ref="A24:B24"/>
    <mergeCell ref="I26:J27"/>
    <mergeCell ref="J57:J58"/>
    <mergeCell ref="F57:G57"/>
    <mergeCell ref="A57:E57"/>
    <mergeCell ref="H57:I58"/>
    <mergeCell ref="A58:E58"/>
    <mergeCell ref="F58:G58"/>
    <mergeCell ref="A39:B39"/>
    <mergeCell ref="C39:D39"/>
    <mergeCell ref="A40:B40"/>
    <mergeCell ref="A13:B13"/>
    <mergeCell ref="A14:B14"/>
    <mergeCell ref="A15:B15"/>
    <mergeCell ref="C14:D14"/>
    <mergeCell ref="C15:D15"/>
    <mergeCell ref="C1:H1"/>
    <mergeCell ref="C3:H3"/>
    <mergeCell ref="C16:D16"/>
    <mergeCell ref="D5:E5"/>
    <mergeCell ref="E13:J13"/>
    <mergeCell ref="I24:J24"/>
    <mergeCell ref="I25:J25"/>
    <mergeCell ref="G24:H24"/>
    <mergeCell ref="G25:H25"/>
    <mergeCell ref="G22:H22"/>
    <mergeCell ref="G23:H23"/>
    <mergeCell ref="I22:J22"/>
    <mergeCell ref="I23:J23"/>
    <mergeCell ref="C40:D40"/>
    <mergeCell ref="A37:B37"/>
    <mergeCell ref="C27:F27"/>
    <mergeCell ref="A38:B38"/>
    <mergeCell ref="C38:D38"/>
    <mergeCell ref="C37:D37"/>
    <mergeCell ref="E37:F37"/>
    <mergeCell ref="F29:G29"/>
    <mergeCell ref="F30:G30"/>
    <mergeCell ref="G26:H27"/>
    <mergeCell ref="A46:J46"/>
    <mergeCell ref="A41:B41"/>
    <mergeCell ref="C41:D41"/>
    <mergeCell ref="A44:B44"/>
    <mergeCell ref="C44:D44"/>
    <mergeCell ref="A43:B43"/>
    <mergeCell ref="C43:D43"/>
    <mergeCell ref="A42:B42"/>
    <mergeCell ref="C42:D42"/>
    <mergeCell ref="A47:B47"/>
    <mergeCell ref="G47:H47"/>
    <mergeCell ref="I47:J47"/>
    <mergeCell ref="A48:B48"/>
    <mergeCell ref="C48:F48"/>
    <mergeCell ref="G48:H48"/>
    <mergeCell ref="I48:J48"/>
    <mergeCell ref="A50:B50"/>
    <mergeCell ref="C50:F50"/>
    <mergeCell ref="G50:H50"/>
    <mergeCell ref="I50:J50"/>
    <mergeCell ref="A49:B49"/>
    <mergeCell ref="C49:F49"/>
    <mergeCell ref="G49:H49"/>
    <mergeCell ref="I49:J49"/>
    <mergeCell ref="A51:B51"/>
    <mergeCell ref="C51:F51"/>
    <mergeCell ref="G51:H52"/>
    <mergeCell ref="I51:J52"/>
    <mergeCell ref="A52:B52"/>
    <mergeCell ref="C52:F52"/>
    <mergeCell ref="K33:M33"/>
    <mergeCell ref="K24:Q24"/>
    <mergeCell ref="K16:M16"/>
    <mergeCell ref="K17:M17"/>
    <mergeCell ref="K18:M18"/>
    <mergeCell ref="K31:M31"/>
    <mergeCell ref="K19:M19"/>
    <mergeCell ref="K30:M30"/>
    <mergeCell ref="K27:M27"/>
    <mergeCell ref="K28:M28"/>
    <mergeCell ref="K10:Q10"/>
    <mergeCell ref="P3:AI3"/>
    <mergeCell ref="R10:AO10"/>
    <mergeCell ref="W7:Z7"/>
    <mergeCell ref="K8:AO9"/>
    <mergeCell ref="P36:AI36"/>
    <mergeCell ref="C29:E30"/>
    <mergeCell ref="R24:AO24"/>
    <mergeCell ref="W21:Z21"/>
    <mergeCell ref="N31:Q31"/>
    <mergeCell ref="N32:Q32"/>
    <mergeCell ref="N33:Q33"/>
    <mergeCell ref="K25:M25"/>
    <mergeCell ref="K26:M26"/>
    <mergeCell ref="K32:M32"/>
    <mergeCell ref="K29:M29"/>
    <mergeCell ref="K11:M11"/>
    <mergeCell ref="K12:M12"/>
    <mergeCell ref="K13:M13"/>
    <mergeCell ref="K14:M14"/>
    <mergeCell ref="L22:M22"/>
    <mergeCell ref="K15:M15"/>
    <mergeCell ref="N15:Q15"/>
    <mergeCell ref="N16:Q16"/>
    <mergeCell ref="N17:Q17"/>
    <mergeCell ref="N18:Q18"/>
    <mergeCell ref="N11:Q11"/>
    <mergeCell ref="N12:Q12"/>
    <mergeCell ref="N13:Q13"/>
    <mergeCell ref="N14:Q14"/>
    <mergeCell ref="N19:Q19"/>
    <mergeCell ref="K34:M34"/>
    <mergeCell ref="N34:Q34"/>
    <mergeCell ref="N25:Q25"/>
    <mergeCell ref="K21:V21"/>
    <mergeCell ref="N26:Q26"/>
    <mergeCell ref="N27:Q27"/>
    <mergeCell ref="N28:Q28"/>
    <mergeCell ref="N29:Q29"/>
    <mergeCell ref="N30:Q30"/>
  </mergeCells>
  <printOptions horizontalCentered="1"/>
  <pageMargins left="0.5905511811023623" right="0.5905511811023623" top="0.5905511811023623" bottom="0.5905511811023623" header="0.5118110236220472" footer="0.590551181102362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X34"/>
  <sheetViews>
    <sheetView showGridLines="0" showZeros="0" zoomScale="75" zoomScaleNormal="75" zoomScalePageLayoutView="0" workbookViewId="0" topLeftCell="A7">
      <selection activeCell="G23" sqref="G23"/>
    </sheetView>
  </sheetViews>
  <sheetFormatPr defaultColWidth="11.421875" defaultRowHeight="12.75"/>
  <cols>
    <col min="1" max="1" width="24.140625" style="12" bestFit="1" customWidth="1"/>
    <col min="2" max="2" width="12.421875" style="55" customWidth="1"/>
    <col min="3" max="8" width="10.57421875" style="55" customWidth="1"/>
    <col min="9" max="9" width="13.140625" style="12" bestFit="1" customWidth="1"/>
    <col min="10" max="13" width="11.421875" style="12" customWidth="1"/>
    <col min="14" max="14" width="14.8515625" style="12" customWidth="1"/>
    <col min="15" max="49" width="11.421875" style="12" customWidth="1"/>
    <col min="50" max="50" width="7.7109375" style="12" customWidth="1"/>
    <col min="51" max="16384" width="11.421875" style="12" customWidth="1"/>
  </cols>
  <sheetData>
    <row r="1" spans="1:8" ht="17.25">
      <c r="A1" s="274">
        <f>' correction'!A54:G54</f>
        <v>0</v>
      </c>
      <c r="B1" s="275"/>
      <c r="C1" s="275"/>
      <c r="D1" s="275"/>
      <c r="E1" s="275"/>
      <c r="F1" s="46"/>
      <c r="G1" s="162" t="s">
        <v>137</v>
      </c>
      <c r="H1" s="71">
        <f>' correction'!J54</f>
        <v>0</v>
      </c>
    </row>
    <row r="2" spans="1:8" ht="15">
      <c r="A2" s="7" t="s">
        <v>44</v>
      </c>
      <c r="B2" s="8"/>
      <c r="C2" s="8"/>
      <c r="D2" s="8"/>
      <c r="E2" s="8"/>
      <c r="F2" s="73"/>
      <c r="G2" s="73"/>
      <c r="H2" s="161"/>
    </row>
    <row r="3" spans="1:8" ht="15">
      <c r="A3" s="7" t="s">
        <v>142</v>
      </c>
      <c r="B3" s="8"/>
      <c r="C3" s="8"/>
      <c r="D3" s="8"/>
      <c r="E3" s="8"/>
      <c r="F3" s="8"/>
      <c r="G3" s="8"/>
      <c r="H3" s="9"/>
    </row>
    <row r="4" spans="1:8" ht="12.75">
      <c r="A4" s="232" t="s">
        <v>138</v>
      </c>
      <c r="B4" s="233"/>
      <c r="C4" s="234"/>
      <c r="D4" s="232" t="s">
        <v>139</v>
      </c>
      <c r="E4" s="234"/>
      <c r="F4" s="224" t="s">
        <v>140</v>
      </c>
      <c r="G4" s="225"/>
      <c r="H4" s="271">
        <f>' correction'!J57</f>
        <v>1</v>
      </c>
    </row>
    <row r="5" spans="1:8" ht="15">
      <c r="A5" s="228" t="s">
        <v>141</v>
      </c>
      <c r="B5" s="229"/>
      <c r="C5" s="230"/>
      <c r="D5" s="228">
        <v>12</v>
      </c>
      <c r="E5" s="230"/>
      <c r="F5" s="226"/>
      <c r="G5" s="227"/>
      <c r="H5" s="272"/>
    </row>
    <row r="6" ht="13.5" thickBot="1"/>
    <row r="7" spans="1:50" s="78" customFormat="1" ht="18.75" customHeight="1" thickBot="1">
      <c r="A7" s="77"/>
      <c r="B7" s="276" t="s">
        <v>115</v>
      </c>
      <c r="C7" s="277"/>
      <c r="D7" s="277"/>
      <c r="E7" s="277"/>
      <c r="F7" s="278"/>
      <c r="G7" s="279" t="s">
        <v>116</v>
      </c>
      <c r="H7" s="280"/>
      <c r="N7" s="79"/>
      <c r="AX7" s="79"/>
    </row>
    <row r="8" spans="1:14" ht="33" customHeight="1">
      <c r="A8" s="80"/>
      <c r="B8" s="81" t="s">
        <v>117</v>
      </c>
      <c r="C8" s="81" t="s">
        <v>118</v>
      </c>
      <c r="D8" s="82" t="s">
        <v>119</v>
      </c>
      <c r="E8" s="83" t="s">
        <v>136</v>
      </c>
      <c r="F8" s="84" t="s">
        <v>120</v>
      </c>
      <c r="G8" s="85" t="s">
        <v>166</v>
      </c>
      <c r="H8" s="81" t="s">
        <v>167</v>
      </c>
      <c r="N8" s="86"/>
    </row>
    <row r="9" spans="1:50" ht="13.5" customHeight="1">
      <c r="A9" s="87" t="s">
        <v>135</v>
      </c>
      <c r="B9" s="88"/>
      <c r="C9" s="88"/>
      <c r="D9" s="88">
        <f>(' correction'!N12+(' correction'!N12*10/100))/1000</f>
        <v>0</v>
      </c>
      <c r="E9" s="88">
        <f>(' correction'!N26+(' correction'!N26*10/100))/1000</f>
        <v>0</v>
      </c>
      <c r="F9" s="88">
        <f aca="true" t="shared" si="0" ref="F9:F14">SUM(B9:E9)</f>
        <v>0</v>
      </c>
      <c r="G9" s="14">
        <v>0.78</v>
      </c>
      <c r="H9" s="89">
        <f>IF(F9*G9=0,"",F9*G9)</f>
      </c>
      <c r="I9" s="90"/>
      <c r="N9" s="86"/>
      <c r="AX9" s="91"/>
    </row>
    <row r="10" spans="1:50" ht="13.5" customHeight="1">
      <c r="A10" s="87" t="s">
        <v>121</v>
      </c>
      <c r="B10" s="88">
        <f>' correction'!G14+' correction'!G14*10/100</f>
        <v>9.995850622406639</v>
      </c>
      <c r="C10" s="88"/>
      <c r="D10" s="88"/>
      <c r="E10" s="88"/>
      <c r="F10" s="88">
        <f t="shared" si="0"/>
        <v>9.995850622406639</v>
      </c>
      <c r="G10" s="14">
        <v>0.67</v>
      </c>
      <c r="H10" s="89">
        <f>IF(F10*G10=0,"",F10*G10)</f>
        <v>6.697219917012449</v>
      </c>
      <c r="I10" s="90"/>
      <c r="N10" s="86"/>
      <c r="AX10" s="91"/>
    </row>
    <row r="11" spans="1:50" ht="13.5" customHeight="1">
      <c r="A11" s="87" t="s">
        <v>122</v>
      </c>
      <c r="B11" s="88"/>
      <c r="C11" s="88">
        <f>' correction'!G37+(' correction'!G37*10/100)</f>
        <v>0</v>
      </c>
      <c r="D11" s="88"/>
      <c r="E11" s="88"/>
      <c r="F11" s="88">
        <f t="shared" si="0"/>
        <v>0</v>
      </c>
      <c r="G11" s="14">
        <v>0.68</v>
      </c>
      <c r="H11" s="89">
        <f aca="true" t="shared" si="1" ref="H11:H23">IF(F11*G11=0,"",F11*G11)</f>
      </c>
      <c r="I11" s="90"/>
      <c r="N11" s="86"/>
      <c r="AX11" s="91"/>
    </row>
    <row r="12" spans="1:50" ht="13.5" customHeight="1">
      <c r="A12" s="87" t="s">
        <v>123</v>
      </c>
      <c r="B12" s="88"/>
      <c r="C12" s="88">
        <f>' correction'!G38+(' correction'!G38*10/100)</f>
        <v>0.3821052631578948</v>
      </c>
      <c r="D12" s="88"/>
      <c r="E12" s="88"/>
      <c r="F12" s="88">
        <f t="shared" si="0"/>
        <v>0.3821052631578948</v>
      </c>
      <c r="G12" s="14">
        <v>0.71</v>
      </c>
      <c r="H12" s="89">
        <f t="shared" si="1"/>
        <v>0.27129473684210526</v>
      </c>
      <c r="I12" s="90"/>
      <c r="N12" s="86"/>
      <c r="AX12" s="91"/>
    </row>
    <row r="13" spans="1:50" ht="13.5" customHeight="1">
      <c r="A13" s="92" t="s">
        <v>124</v>
      </c>
      <c r="B13" s="88"/>
      <c r="C13" s="88">
        <f>' correction'!G36+(' correction'!G36*10/100)</f>
        <v>3.4389473684210525</v>
      </c>
      <c r="D13" s="88">
        <f>(' correction'!N11+(' correction'!N11*10/100))/1000</f>
        <v>1.1</v>
      </c>
      <c r="E13" s="88">
        <f>(' correction'!N25+(' correction'!N25*10/100))/1000</f>
        <v>1.1</v>
      </c>
      <c r="F13" s="88">
        <f t="shared" si="0"/>
        <v>5.638947368421052</v>
      </c>
      <c r="G13" s="14">
        <v>0.62</v>
      </c>
      <c r="H13" s="89">
        <f t="shared" si="1"/>
        <v>3.496147368421052</v>
      </c>
      <c r="I13" s="90"/>
      <c r="N13" s="86"/>
      <c r="AX13" s="91"/>
    </row>
    <row r="14" spans="1:50" ht="13.5" customHeight="1">
      <c r="A14" s="87" t="s">
        <v>125</v>
      </c>
      <c r="B14" s="88">
        <f>' correction'!G15</f>
        <v>5.906639004149378</v>
      </c>
      <c r="C14" s="88">
        <f>' correction'!G39</f>
        <v>2.1536842105263156</v>
      </c>
      <c r="D14" s="88">
        <f>' correction'!N13/1000</f>
        <v>0.5</v>
      </c>
      <c r="E14" s="88">
        <f>' correction'!N27/1000</f>
        <v>0.4</v>
      </c>
      <c r="F14" s="88">
        <f t="shared" si="0"/>
        <v>8.960323214675695</v>
      </c>
      <c r="G14" s="14"/>
      <c r="H14" s="89">
        <f t="shared" si="1"/>
      </c>
      <c r="I14" s="90"/>
      <c r="N14" s="86"/>
      <c r="AX14" s="91"/>
    </row>
    <row r="15" spans="1:50" s="93" customFormat="1" ht="13.5" customHeight="1">
      <c r="A15" s="87" t="s">
        <v>126</v>
      </c>
      <c r="B15" s="88">
        <f>' correction'!G16</f>
        <v>0.16356846473029046</v>
      </c>
      <c r="C15" s="88">
        <f>' correction'!G40</f>
        <v>0.06947368421052631</v>
      </c>
      <c r="D15" s="88">
        <f>' correction'!N14/1000</f>
        <v>0.02</v>
      </c>
      <c r="E15" s="88">
        <f>' correction'!N28/1000</f>
        <v>0.02</v>
      </c>
      <c r="F15" s="88">
        <f aca="true" t="shared" si="2" ref="F15:F21">SUM(B15:E15)</f>
        <v>0.2730421489408168</v>
      </c>
      <c r="G15" s="14">
        <v>0.3</v>
      </c>
      <c r="H15" s="89">
        <f t="shared" si="1"/>
        <v>0.08191264468224503</v>
      </c>
      <c r="I15" s="90"/>
      <c r="AX15" s="94"/>
    </row>
    <row r="16" spans="1:50" ht="13.5" customHeight="1">
      <c r="A16" s="87" t="s">
        <v>127</v>
      </c>
      <c r="B16" s="88">
        <f>' correction'!G17</f>
        <v>0.09087136929460582</v>
      </c>
      <c r="C16" s="88">
        <f>' correction'!G41</f>
        <v>0.034736842105263156</v>
      </c>
      <c r="D16" s="88">
        <f>' correction'!N15/1000</f>
        <v>0.03</v>
      </c>
      <c r="E16" s="88">
        <f>' correction'!N29/1000</f>
        <v>0.03</v>
      </c>
      <c r="F16" s="88">
        <f t="shared" si="2"/>
        <v>0.18560821139986897</v>
      </c>
      <c r="G16" s="14">
        <v>3.28</v>
      </c>
      <c r="H16" s="89">
        <f t="shared" si="1"/>
        <v>0.6087949333915702</v>
      </c>
      <c r="I16" s="90"/>
      <c r="N16" s="86"/>
      <c r="AX16" s="91"/>
    </row>
    <row r="17" spans="1:50" ht="13.5" customHeight="1">
      <c r="A17" s="87" t="s">
        <v>128</v>
      </c>
      <c r="B17" s="88"/>
      <c r="C17" s="88"/>
      <c r="D17" s="88"/>
      <c r="E17" s="88"/>
      <c r="F17" s="88">
        <f t="shared" si="2"/>
        <v>0</v>
      </c>
      <c r="G17" s="14"/>
      <c r="H17" s="89">
        <f t="shared" si="1"/>
      </c>
      <c r="I17" s="90"/>
      <c r="N17" s="86"/>
      <c r="AX17" s="91"/>
    </row>
    <row r="18" spans="1:50" ht="13.5" customHeight="1">
      <c r="A18" s="87" t="s">
        <v>129</v>
      </c>
      <c r="B18" s="88">
        <f>' correction'!G18</f>
        <v>2.271784232365145</v>
      </c>
      <c r="C18" s="88">
        <f>' correction'!G43</f>
        <v>0.868421052631579</v>
      </c>
      <c r="D18" s="95"/>
      <c r="E18" s="95"/>
      <c r="F18" s="88">
        <f t="shared" si="2"/>
        <v>3.140205284996724</v>
      </c>
      <c r="G18" s="14"/>
      <c r="H18" s="89">
        <f t="shared" si="1"/>
      </c>
      <c r="I18" s="90"/>
      <c r="N18" s="86"/>
      <c r="AX18" s="91"/>
    </row>
    <row r="19" spans="1:50" ht="13.5" customHeight="1">
      <c r="A19" s="87" t="s">
        <v>130</v>
      </c>
      <c r="B19" s="88"/>
      <c r="C19" s="88"/>
      <c r="D19" s="88">
        <f>' correction'!N16/1000</f>
        <v>0.12</v>
      </c>
      <c r="E19" s="88">
        <f>' correction'!N30/1000</f>
        <v>0.08</v>
      </c>
      <c r="F19" s="88">
        <f t="shared" si="2"/>
        <v>0.2</v>
      </c>
      <c r="G19" s="14">
        <v>1.43</v>
      </c>
      <c r="H19" s="89">
        <f t="shared" si="1"/>
        <v>0.286</v>
      </c>
      <c r="I19" s="90"/>
      <c r="N19" s="86"/>
      <c r="AX19" s="91"/>
    </row>
    <row r="20" spans="1:50" ht="13.5" customHeight="1">
      <c r="A20" s="87" t="s">
        <v>131</v>
      </c>
      <c r="B20" s="88"/>
      <c r="C20" s="88"/>
      <c r="D20" s="88">
        <f>' correction'!N18/1000</f>
        <v>0.05</v>
      </c>
      <c r="E20" s="88">
        <f>' correction'!N32/1000</f>
        <v>0.04</v>
      </c>
      <c r="F20" s="88">
        <f t="shared" si="2"/>
        <v>0.09</v>
      </c>
      <c r="G20" s="14">
        <v>3.91</v>
      </c>
      <c r="H20" s="89">
        <f t="shared" si="1"/>
        <v>0.3519</v>
      </c>
      <c r="I20" s="90"/>
      <c r="N20" s="86"/>
      <c r="AX20" s="91"/>
    </row>
    <row r="21" spans="1:50" ht="13.5" customHeight="1">
      <c r="A21" s="87" t="s">
        <v>132</v>
      </c>
      <c r="B21" s="88"/>
      <c r="C21" s="88"/>
      <c r="D21" s="88">
        <f>' correction'!N19/1000</f>
        <v>0.5</v>
      </c>
      <c r="E21" s="88">
        <f>' correction'!N33/1000</f>
        <v>0.2</v>
      </c>
      <c r="F21" s="88">
        <f t="shared" si="2"/>
        <v>0.7</v>
      </c>
      <c r="G21" s="14">
        <v>5.33</v>
      </c>
      <c r="H21" s="89">
        <f t="shared" si="1"/>
        <v>3.731</v>
      </c>
      <c r="I21" s="90"/>
      <c r="N21" s="86"/>
      <c r="AX21" s="91"/>
    </row>
    <row r="22" spans="1:14" ht="13.5" customHeight="1">
      <c r="A22" s="92" t="s">
        <v>133</v>
      </c>
      <c r="B22" s="88"/>
      <c r="C22" s="88"/>
      <c r="D22" s="88">
        <f>' correction'!N17/1000+0.1</f>
        <v>0.15000000000000002</v>
      </c>
      <c r="E22" s="88">
        <f>' correction'!N31/1000</f>
        <v>0.2</v>
      </c>
      <c r="F22" s="96">
        <f>SUM(B22:E22)/0.05</f>
        <v>7</v>
      </c>
      <c r="G22" s="14">
        <v>0.1</v>
      </c>
      <c r="H22" s="89">
        <f t="shared" si="1"/>
        <v>0.7000000000000001</v>
      </c>
      <c r="I22" s="90"/>
      <c r="N22" s="86"/>
    </row>
    <row r="23" spans="1:9" ht="15.75">
      <c r="A23" s="87" t="s">
        <v>134</v>
      </c>
      <c r="B23" s="88"/>
      <c r="C23" s="88"/>
      <c r="D23" s="88"/>
      <c r="E23" s="88">
        <v>0.1</v>
      </c>
      <c r="F23" s="88">
        <f>SUM(B23:E23)</f>
        <v>0.1</v>
      </c>
      <c r="G23" s="14">
        <v>1.7</v>
      </c>
      <c r="H23" s="89">
        <f t="shared" si="1"/>
        <v>0.17</v>
      </c>
      <c r="I23" s="90"/>
    </row>
    <row r="24" spans="1:9" ht="15.75">
      <c r="A24" s="112"/>
      <c r="B24" s="113"/>
      <c r="C24" s="113"/>
      <c r="D24" s="113"/>
      <c r="E24" s="113"/>
      <c r="F24" s="113"/>
      <c r="G24" s="14"/>
      <c r="H24" s="114"/>
      <c r="I24" s="90"/>
    </row>
    <row r="25" spans="1:9" ht="15.75">
      <c r="A25" s="112"/>
      <c r="B25" s="113"/>
      <c r="C25" s="113"/>
      <c r="D25" s="113"/>
      <c r="E25" s="113"/>
      <c r="F25" s="113"/>
      <c r="G25" s="14"/>
      <c r="H25" s="114"/>
      <c r="I25" s="90"/>
    </row>
    <row r="26" spans="1:50" ht="16.5" thickBot="1">
      <c r="A26" s="97" t="s">
        <v>168</v>
      </c>
      <c r="B26" s="98"/>
      <c r="C26" s="98"/>
      <c r="D26" s="99"/>
      <c r="E26" s="99"/>
      <c r="F26" s="100"/>
      <c r="G26" s="100"/>
      <c r="H26" s="101">
        <f>SUM(H9:H25)</f>
        <v>16.39426960034942</v>
      </c>
      <c r="I26" s="90"/>
      <c r="N26" s="86"/>
      <c r="AX26" s="91"/>
    </row>
    <row r="27" spans="1:14" ht="15">
      <c r="A27" s="102"/>
      <c r="B27" s="103"/>
      <c r="C27" s="103"/>
      <c r="D27" s="104"/>
      <c r="E27" s="104"/>
      <c r="F27" s="104"/>
      <c r="G27" s="105"/>
      <c r="H27" s="105"/>
      <c r="N27" s="86"/>
    </row>
    <row r="29" spans="10:15" ht="12.75">
      <c r="J29" s="62"/>
      <c r="K29" s="62"/>
      <c r="L29" s="62"/>
      <c r="M29" s="62"/>
      <c r="N29" s="62"/>
      <c r="O29" s="62"/>
    </row>
    <row r="30" spans="9:15" ht="15.75">
      <c r="I30" s="90"/>
      <c r="J30" s="62"/>
      <c r="K30" s="62"/>
      <c r="L30" s="62"/>
      <c r="M30" s="62"/>
      <c r="N30" s="62"/>
      <c r="O30" s="62"/>
    </row>
    <row r="31" spans="9:15" ht="15.75">
      <c r="I31" s="90"/>
      <c r="J31" s="62"/>
      <c r="K31" s="62"/>
      <c r="L31" s="62"/>
      <c r="M31" s="62"/>
      <c r="N31" s="62"/>
      <c r="O31" s="62"/>
    </row>
    <row r="32" spans="9:15" ht="15">
      <c r="I32" s="13"/>
      <c r="J32" s="62"/>
      <c r="K32" s="62"/>
      <c r="L32" s="62"/>
      <c r="M32" s="62"/>
      <c r="N32" s="62"/>
      <c r="O32" s="62"/>
    </row>
    <row r="33" spans="9:15" ht="12.75">
      <c r="I33" s="62"/>
      <c r="J33" s="62"/>
      <c r="K33" s="62"/>
      <c r="L33" s="62"/>
      <c r="M33" s="62"/>
      <c r="N33" s="62"/>
      <c r="O33" s="62"/>
    </row>
    <row r="34" spans="8:15" ht="12.75">
      <c r="H34" s="56"/>
      <c r="I34" s="62"/>
      <c r="J34" s="62"/>
      <c r="K34" s="62"/>
      <c r="L34" s="62"/>
      <c r="M34" s="62"/>
      <c r="N34" s="62"/>
      <c r="O34" s="62"/>
    </row>
  </sheetData>
  <sheetProtection/>
  <mergeCells count="9">
    <mergeCell ref="F4:G5"/>
    <mergeCell ref="H4:H5"/>
    <mergeCell ref="B7:F7"/>
    <mergeCell ref="G7:H7"/>
    <mergeCell ref="A1:E1"/>
    <mergeCell ref="D4:E4"/>
    <mergeCell ref="D5:E5"/>
    <mergeCell ref="A4:C4"/>
    <mergeCell ref="A5:C5"/>
  </mergeCells>
  <printOptions horizontalCentered="1"/>
  <pageMargins left="0.1968503937007874" right="0.1968503937007874"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J48"/>
  <sheetViews>
    <sheetView workbookViewId="0" topLeftCell="A10">
      <selection activeCell="I26" sqref="I26"/>
    </sheetView>
  </sheetViews>
  <sheetFormatPr defaultColWidth="11.421875" defaultRowHeight="12.75"/>
  <cols>
    <col min="1" max="1" width="4.140625" style="10" customWidth="1"/>
    <col min="2" max="2" width="2.7109375" style="10" customWidth="1"/>
    <col min="3" max="3" width="2.00390625" style="10" customWidth="1"/>
    <col min="4" max="4" width="8.28125" style="10" customWidth="1"/>
    <col min="5" max="5" width="3.57421875" style="10" customWidth="1"/>
    <col min="6" max="6" width="16.28125" style="10" customWidth="1"/>
    <col min="7" max="7" width="21.140625" style="10" customWidth="1"/>
    <col min="8" max="8" width="7.140625" style="10" customWidth="1"/>
    <col min="9" max="9" width="7.8515625" style="10" customWidth="1"/>
    <col min="10" max="10" width="2.00390625" style="10" customWidth="1"/>
    <col min="11" max="11" width="10.7109375" style="10" customWidth="1"/>
    <col min="12" max="16384" width="11.421875" style="10" customWidth="1"/>
  </cols>
  <sheetData>
    <row r="2" spans="1:10" ht="12.75">
      <c r="A2" s="10" t="s">
        <v>144</v>
      </c>
      <c r="D2" s="10" t="s">
        <v>165</v>
      </c>
      <c r="H2" s="178" t="s">
        <v>145</v>
      </c>
      <c r="I2" s="178"/>
      <c r="J2" s="179"/>
    </row>
    <row r="3" spans="1:10" ht="12.75">
      <c r="A3" s="10" t="s">
        <v>44</v>
      </c>
      <c r="H3" s="178" t="s">
        <v>146</v>
      </c>
      <c r="I3" s="178"/>
      <c r="J3" s="179"/>
    </row>
    <row r="4" spans="8:10" ht="12.75">
      <c r="H4" s="179" t="s">
        <v>256</v>
      </c>
      <c r="I4" s="179"/>
      <c r="J4" s="179"/>
    </row>
    <row r="8" spans="4:8" ht="18">
      <c r="D8" s="177"/>
      <c r="E8" s="281" t="s">
        <v>257</v>
      </c>
      <c r="F8" s="282"/>
      <c r="G8" s="282"/>
      <c r="H8" s="283"/>
    </row>
    <row r="9" spans="4:7" ht="18">
      <c r="D9" s="177"/>
      <c r="E9" s="177"/>
      <c r="F9" s="177"/>
      <c r="G9" s="177"/>
    </row>
    <row r="10" spans="4:7" ht="18">
      <c r="D10" s="177"/>
      <c r="E10" s="177"/>
      <c r="F10" s="177"/>
      <c r="G10" s="177"/>
    </row>
    <row r="11" spans="4:7" ht="18">
      <c r="D11" s="177"/>
      <c r="E11" s="177"/>
      <c r="F11" s="177"/>
      <c r="G11" s="177"/>
    </row>
    <row r="12" spans="1:3" ht="15">
      <c r="A12" s="175"/>
      <c r="B12" s="175"/>
      <c r="C12" s="175"/>
    </row>
    <row r="13" spans="1:4" ht="15">
      <c r="A13" s="175"/>
      <c r="B13" s="175"/>
      <c r="C13" s="175" t="s">
        <v>147</v>
      </c>
      <c r="D13" s="175" t="s">
        <v>275</v>
      </c>
    </row>
    <row r="14" spans="3:4" s="175" customFormat="1" ht="15">
      <c r="C14" s="175" t="s">
        <v>147</v>
      </c>
      <c r="D14" s="175" t="s">
        <v>258</v>
      </c>
    </row>
    <row r="15" spans="3:5" s="175" customFormat="1" ht="15">
      <c r="C15" s="175" t="s">
        <v>147</v>
      </c>
      <c r="D15" s="175" t="s">
        <v>259</v>
      </c>
      <c r="E15" s="176"/>
    </row>
    <row r="16" spans="3:5" s="175" customFormat="1" ht="15">
      <c r="C16" s="175" t="s">
        <v>147</v>
      </c>
      <c r="D16" s="175" t="s">
        <v>260</v>
      </c>
      <c r="E16" s="176"/>
    </row>
    <row r="17" spans="3:5" s="175" customFormat="1" ht="15">
      <c r="C17" s="175" t="s">
        <v>147</v>
      </c>
      <c r="D17" s="175" t="s">
        <v>261</v>
      </c>
      <c r="E17" s="176"/>
    </row>
    <row r="18" spans="3:5" s="175" customFormat="1" ht="15">
      <c r="C18" s="175" t="s">
        <v>147</v>
      </c>
      <c r="D18" s="175" t="s">
        <v>262</v>
      </c>
      <c r="E18" s="176"/>
    </row>
    <row r="19" spans="3:5" s="175" customFormat="1" ht="15">
      <c r="C19" s="175" t="s">
        <v>147</v>
      </c>
      <c r="D19" s="175" t="s">
        <v>263</v>
      </c>
      <c r="E19" s="176"/>
    </row>
    <row r="20" spans="3:4" s="175" customFormat="1" ht="15">
      <c r="C20" s="175" t="s">
        <v>147</v>
      </c>
      <c r="D20" s="175" t="s">
        <v>264</v>
      </c>
    </row>
    <row r="21" spans="3:4" s="175" customFormat="1" ht="15">
      <c r="C21" s="175" t="s">
        <v>147</v>
      </c>
      <c r="D21" s="175" t="s">
        <v>265</v>
      </c>
    </row>
    <row r="22" spans="3:4" s="175" customFormat="1" ht="15">
      <c r="C22" s="175" t="s">
        <v>147</v>
      </c>
      <c r="D22" s="175" t="s">
        <v>277</v>
      </c>
    </row>
    <row r="23" spans="3:4" s="175" customFormat="1" ht="15">
      <c r="C23" s="175" t="s">
        <v>147</v>
      </c>
      <c r="D23" s="175" t="s">
        <v>276</v>
      </c>
    </row>
    <row r="24" spans="3:4" s="175" customFormat="1" ht="15">
      <c r="C24" s="175" t="s">
        <v>147</v>
      </c>
      <c r="D24" s="175" t="s">
        <v>266</v>
      </c>
    </row>
    <row r="25" spans="3:4" s="175" customFormat="1" ht="15">
      <c r="C25" s="175" t="s">
        <v>147</v>
      </c>
      <c r="D25" s="175" t="s">
        <v>267</v>
      </c>
    </row>
    <row r="26" spans="3:4" s="175" customFormat="1" ht="15">
      <c r="C26" s="175" t="s">
        <v>147</v>
      </c>
      <c r="D26" s="175" t="s">
        <v>268</v>
      </c>
    </row>
    <row r="27" spans="3:4" s="175" customFormat="1" ht="15">
      <c r="C27" s="175" t="s">
        <v>147</v>
      </c>
      <c r="D27" s="175" t="s">
        <v>269</v>
      </c>
    </row>
    <row r="28" spans="3:4" s="175" customFormat="1" ht="15">
      <c r="C28" s="175" t="s">
        <v>147</v>
      </c>
      <c r="D28" s="175" t="s">
        <v>270</v>
      </c>
    </row>
    <row r="29" spans="3:4" s="175" customFormat="1" ht="15">
      <c r="C29" s="175" t="s">
        <v>147</v>
      </c>
      <c r="D29" s="175" t="s">
        <v>271</v>
      </c>
    </row>
    <row r="30" spans="3:4" s="175" customFormat="1" ht="15">
      <c r="C30" s="175" t="s">
        <v>147</v>
      </c>
      <c r="D30" s="175" t="s">
        <v>272</v>
      </c>
    </row>
    <row r="31" spans="3:4" s="175" customFormat="1" ht="15">
      <c r="C31" s="175" t="s">
        <v>147</v>
      </c>
      <c r="D31" s="175" t="s">
        <v>273</v>
      </c>
    </row>
    <row r="32" spans="3:4" s="175" customFormat="1" ht="15">
      <c r="C32" s="175" t="s">
        <v>147</v>
      </c>
      <c r="D32" s="175" t="s">
        <v>274</v>
      </c>
    </row>
    <row r="33" s="175" customFormat="1" ht="15"/>
    <row r="34" spans="1:3" s="175" customFormat="1" ht="15">
      <c r="A34" s="10"/>
      <c r="B34" s="10"/>
      <c r="C34" s="10"/>
    </row>
    <row r="35" spans="1:3" s="175" customFormat="1" ht="15">
      <c r="A35" s="10"/>
      <c r="B35" s="10"/>
      <c r="C35" s="10"/>
    </row>
    <row r="36" spans="1:3" s="175" customFormat="1" ht="15">
      <c r="A36" s="10"/>
      <c r="B36" s="10"/>
      <c r="C36" s="10"/>
    </row>
    <row r="37" spans="1:3" s="175" customFormat="1" ht="15">
      <c r="A37" s="10"/>
      <c r="B37" s="10"/>
      <c r="C37" s="10"/>
    </row>
    <row r="38" spans="1:3" s="175" customFormat="1" ht="15">
      <c r="A38" s="10"/>
      <c r="B38" s="10"/>
      <c r="C38" s="10"/>
    </row>
    <row r="39" spans="1:3" s="175" customFormat="1" ht="15">
      <c r="A39" s="10"/>
      <c r="B39" s="10"/>
      <c r="C39" s="10"/>
    </row>
    <row r="40" spans="1:3" s="175" customFormat="1" ht="15">
      <c r="A40" s="10"/>
      <c r="B40" s="10"/>
      <c r="C40" s="10"/>
    </row>
    <row r="41" spans="1:3" s="175" customFormat="1" ht="15">
      <c r="A41" s="10"/>
      <c r="B41" s="10"/>
      <c r="C41" s="10"/>
    </row>
    <row r="42" spans="1:3" s="175" customFormat="1" ht="15">
      <c r="A42" s="10"/>
      <c r="B42" s="10"/>
      <c r="C42" s="10"/>
    </row>
    <row r="43" spans="1:3" s="175" customFormat="1" ht="15">
      <c r="A43" s="10"/>
      <c r="B43" s="10"/>
      <c r="C43" s="10"/>
    </row>
    <row r="44" spans="1:3" s="175" customFormat="1" ht="15">
      <c r="A44" s="10"/>
      <c r="B44" s="10"/>
      <c r="C44" s="10"/>
    </row>
    <row r="45" spans="1:3" s="175" customFormat="1" ht="15">
      <c r="A45" s="10"/>
      <c r="B45" s="10"/>
      <c r="C45" s="10"/>
    </row>
    <row r="46" spans="1:3" s="175" customFormat="1" ht="15">
      <c r="A46" s="10"/>
      <c r="B46" s="10"/>
      <c r="C46" s="10"/>
    </row>
    <row r="47" spans="1:3" s="175" customFormat="1" ht="15">
      <c r="A47" s="10"/>
      <c r="B47" s="10"/>
      <c r="C47" s="10"/>
    </row>
    <row r="48" spans="1:3" s="175" customFormat="1" ht="15">
      <c r="A48" s="10"/>
      <c r="B48" s="10"/>
      <c r="C48" s="10"/>
    </row>
  </sheetData>
  <mergeCells count="1">
    <mergeCell ref="E8:H8"/>
  </mergeCells>
  <printOptions horizontalCentered="1"/>
  <pageMargins left="0.7874015748031497" right="0.7874015748031497" top="0.984251968503937" bottom="0.98425196850393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2:I38"/>
  <sheetViews>
    <sheetView zoomScalePageLayoutView="0" workbookViewId="0" topLeftCell="A1">
      <selection activeCell="I27" sqref="I27"/>
    </sheetView>
  </sheetViews>
  <sheetFormatPr defaultColWidth="11.421875" defaultRowHeight="12.75"/>
  <cols>
    <col min="1" max="1" width="4.140625" style="10" customWidth="1"/>
    <col min="2" max="2" width="2.7109375" style="10" customWidth="1"/>
    <col min="3" max="3" width="2.00390625" style="10" customWidth="1"/>
    <col min="4" max="4" width="8.28125" style="10" customWidth="1"/>
    <col min="5" max="5" width="3.57421875" style="10" customWidth="1"/>
    <col min="6" max="6" width="16.28125" style="10" customWidth="1"/>
    <col min="7" max="7" width="28.00390625" style="10" customWidth="1"/>
    <col min="8" max="8" width="7.140625" style="10" customWidth="1"/>
    <col min="9" max="9" width="7.8515625" style="10" customWidth="1"/>
    <col min="10" max="10" width="2.00390625" style="10" customWidth="1"/>
    <col min="11" max="11" width="10.7109375" style="10" customWidth="1"/>
    <col min="12" max="16384" width="11.421875" style="10" customWidth="1"/>
  </cols>
  <sheetData>
    <row r="2" spans="1:9" ht="12.75">
      <c r="A2" s="10" t="s">
        <v>144</v>
      </c>
      <c r="D2" s="10" t="s">
        <v>165</v>
      </c>
      <c r="H2" s="178" t="s">
        <v>145</v>
      </c>
      <c r="I2" s="178"/>
    </row>
    <row r="3" spans="1:9" ht="12.75">
      <c r="A3" s="10" t="s">
        <v>44</v>
      </c>
      <c r="H3" s="178" t="s">
        <v>146</v>
      </c>
      <c r="I3" s="178"/>
    </row>
    <row r="7" spans="2:9" ht="18">
      <c r="B7" s="281" t="s">
        <v>252</v>
      </c>
      <c r="C7" s="282"/>
      <c r="D7" s="282"/>
      <c r="E7" s="282"/>
      <c r="F7" s="282"/>
      <c r="G7" s="282"/>
      <c r="H7" s="282"/>
      <c r="I7" s="283"/>
    </row>
    <row r="12" spans="3:4" s="175" customFormat="1" ht="15">
      <c r="C12" s="175" t="s">
        <v>147</v>
      </c>
      <c r="D12" s="175" t="s">
        <v>251</v>
      </c>
    </row>
    <row r="13" spans="5:6" s="175" customFormat="1" ht="15">
      <c r="E13" s="176" t="s">
        <v>148</v>
      </c>
      <c r="F13" s="175" t="s">
        <v>149</v>
      </c>
    </row>
    <row r="14" spans="5:6" s="175" customFormat="1" ht="15">
      <c r="E14" s="176" t="s">
        <v>148</v>
      </c>
      <c r="F14" s="175" t="s">
        <v>253</v>
      </c>
    </row>
    <row r="15" spans="5:6" s="175" customFormat="1" ht="15">
      <c r="E15" s="176" t="s">
        <v>148</v>
      </c>
      <c r="F15" s="175" t="s">
        <v>150</v>
      </c>
    </row>
    <row r="16" spans="5:6" s="175" customFormat="1" ht="15">
      <c r="E16" s="176" t="s">
        <v>148</v>
      </c>
      <c r="F16" s="175" t="s">
        <v>151</v>
      </c>
    </row>
    <row r="17" spans="5:6" s="175" customFormat="1" ht="15">
      <c r="E17" s="176" t="s">
        <v>148</v>
      </c>
      <c r="F17" s="175" t="s">
        <v>152</v>
      </c>
    </row>
    <row r="18" spans="3:4" s="175" customFormat="1" ht="15">
      <c r="C18" s="175" t="s">
        <v>147</v>
      </c>
      <c r="D18" s="175" t="s">
        <v>153</v>
      </c>
    </row>
    <row r="19" spans="3:4" s="175" customFormat="1" ht="15">
      <c r="C19" s="175" t="s">
        <v>254</v>
      </c>
      <c r="D19" s="175" t="s">
        <v>255</v>
      </c>
    </row>
    <row r="20" s="175" customFormat="1" ht="15"/>
    <row r="21" s="175" customFormat="1" ht="15"/>
    <row r="22" s="175" customFormat="1" ht="15"/>
    <row r="23" s="175" customFormat="1" ht="15"/>
    <row r="24" s="175" customFormat="1" ht="15"/>
    <row r="25" s="175" customFormat="1" ht="15"/>
    <row r="26" spans="2:5" s="175" customFormat="1" ht="18">
      <c r="B26" s="180" t="s">
        <v>278</v>
      </c>
      <c r="C26" s="11"/>
      <c r="D26" s="11"/>
      <c r="E26" s="11"/>
    </row>
    <row r="27" s="175" customFormat="1" ht="15"/>
    <row r="28" spans="3:4" s="175" customFormat="1" ht="15">
      <c r="C28" s="175" t="s">
        <v>147</v>
      </c>
      <c r="D28" s="175" t="s">
        <v>154</v>
      </c>
    </row>
    <row r="29" spans="3:4" s="175" customFormat="1" ht="15">
      <c r="C29" s="175" t="s">
        <v>147</v>
      </c>
      <c r="D29" s="175" t="s">
        <v>155</v>
      </c>
    </row>
    <row r="30" spans="3:4" s="175" customFormat="1" ht="15">
      <c r="C30" s="175" t="s">
        <v>147</v>
      </c>
      <c r="D30" s="175" t="s">
        <v>156</v>
      </c>
    </row>
    <row r="31" spans="3:4" s="175" customFormat="1" ht="15">
      <c r="C31" s="175" t="s">
        <v>147</v>
      </c>
      <c r="D31" s="175" t="s">
        <v>157</v>
      </c>
    </row>
    <row r="32" spans="3:4" s="175" customFormat="1" ht="15">
      <c r="C32" s="175" t="s">
        <v>147</v>
      </c>
      <c r="D32" s="175" t="s">
        <v>158</v>
      </c>
    </row>
    <row r="33" spans="3:4" s="175" customFormat="1" ht="15">
      <c r="C33" s="175" t="s">
        <v>147</v>
      </c>
      <c r="D33" s="175" t="s">
        <v>159</v>
      </c>
    </row>
    <row r="34" spans="3:4" s="175" customFormat="1" ht="15">
      <c r="C34" s="175" t="s">
        <v>147</v>
      </c>
      <c r="D34" s="175" t="s">
        <v>160</v>
      </c>
    </row>
    <row r="35" spans="3:4" s="175" customFormat="1" ht="15">
      <c r="C35" s="175" t="s">
        <v>147</v>
      </c>
      <c r="D35" s="175" t="s">
        <v>161</v>
      </c>
    </row>
    <row r="36" spans="3:4" s="175" customFormat="1" ht="15">
      <c r="C36" s="175" t="s">
        <v>147</v>
      </c>
      <c r="D36" s="175" t="s">
        <v>162</v>
      </c>
    </row>
    <row r="37" spans="3:4" s="175" customFormat="1" ht="15">
      <c r="C37" s="175" t="s">
        <v>147</v>
      </c>
      <c r="D37" s="175" t="s">
        <v>163</v>
      </c>
    </row>
    <row r="38" spans="3:4" s="175" customFormat="1" ht="15">
      <c r="C38" s="175" t="s">
        <v>147</v>
      </c>
      <c r="D38" s="175" t="s">
        <v>164</v>
      </c>
    </row>
    <row r="39" s="175" customFormat="1" ht="15"/>
    <row r="40" s="175" customFormat="1" ht="15"/>
    <row r="41" s="175" customFormat="1" ht="15"/>
    <row r="42" s="175" customFormat="1" ht="15"/>
    <row r="43" s="175" customFormat="1" ht="15"/>
    <row r="44" s="175" customFormat="1" ht="15"/>
    <row r="45" s="175" customFormat="1" ht="15"/>
    <row r="46" s="175" customFormat="1" ht="15"/>
    <row r="47" s="175" customFormat="1" ht="15"/>
    <row r="48" s="175" customFormat="1" ht="15"/>
  </sheetData>
  <sheetProtection/>
  <mergeCells count="1">
    <mergeCell ref="B7:I7"/>
  </mergeCells>
  <printOptions/>
  <pageMargins left="0.5118110236220472" right="0.5118110236220472"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H54"/>
  <sheetViews>
    <sheetView zoomScalePageLayoutView="0" workbookViewId="0" topLeftCell="A1">
      <pane xSplit="1" ySplit="2" topLeftCell="N7" activePane="bottomRight" state="frozen"/>
      <selection pane="topLeft" activeCell="A1" sqref="A1"/>
      <selection pane="topRight" activeCell="D1" sqref="D1"/>
      <selection pane="bottomLeft" activeCell="A11" sqref="A11"/>
      <selection pane="bottomRight" activeCell="S30" sqref="S30"/>
    </sheetView>
  </sheetViews>
  <sheetFormatPr defaultColWidth="11.421875" defaultRowHeight="12.75"/>
  <cols>
    <col min="1" max="1" width="18.140625" style="2" customWidth="1"/>
    <col min="2" max="2" width="7.8515625" style="5" customWidth="1"/>
    <col min="3" max="3" width="12.57421875" style="5" customWidth="1"/>
    <col min="4" max="4" width="7.57421875" style="5" customWidth="1"/>
    <col min="5" max="5" width="9.421875" style="5" customWidth="1"/>
    <col min="6" max="6" width="12.28125" style="5" customWidth="1"/>
    <col min="7" max="7" width="8.421875" style="5" customWidth="1"/>
    <col min="8" max="8" width="7.8515625" style="5" customWidth="1"/>
    <col min="9" max="9" width="12.28125" style="5" customWidth="1"/>
    <col min="10" max="11" width="7.28125" style="5" customWidth="1"/>
    <col min="12" max="12" width="8.7109375" style="5" customWidth="1"/>
    <col min="13" max="13" width="12.28125" style="5" customWidth="1"/>
    <col min="14" max="14" width="9.00390625" style="5" customWidth="1"/>
    <col min="15" max="15" width="7.140625" style="5" customWidth="1"/>
    <col min="16" max="16" width="12.7109375" style="0" customWidth="1"/>
    <col min="17" max="17" width="7.28125" style="0" customWidth="1"/>
    <col min="20" max="20" width="12.8515625" style="5" customWidth="1"/>
    <col min="21" max="21" width="11.421875" style="6" customWidth="1"/>
    <col min="22" max="22" width="7.57421875" style="5" customWidth="1"/>
    <col min="23" max="23" width="12.421875" style="5" customWidth="1"/>
    <col min="24" max="24" width="15.8515625" style="5" customWidth="1"/>
    <col min="26" max="68" width="11.57421875" style="5" customWidth="1"/>
    <col min="69" max="16384" width="11.421875" style="5" customWidth="1"/>
  </cols>
  <sheetData>
    <row r="1" spans="1:24" s="2" customFormat="1" ht="12.75" customHeight="1">
      <c r="A1" s="1" t="s">
        <v>50</v>
      </c>
      <c r="B1" s="2" t="s">
        <v>54</v>
      </c>
      <c r="C1" s="2" t="s">
        <v>55</v>
      </c>
      <c r="D1" s="2" t="s">
        <v>56</v>
      </c>
      <c r="E1" s="2" t="s">
        <v>51</v>
      </c>
      <c r="F1" s="2" t="s">
        <v>52</v>
      </c>
      <c r="G1" s="2" t="s">
        <v>53</v>
      </c>
      <c r="H1" s="2" t="s">
        <v>57</v>
      </c>
      <c r="I1" s="2" t="s">
        <v>58</v>
      </c>
      <c r="J1" s="2" t="s">
        <v>59</v>
      </c>
      <c r="L1" s="2" t="s">
        <v>173</v>
      </c>
      <c r="M1" s="2" t="s">
        <v>60</v>
      </c>
      <c r="N1" s="2" t="s">
        <v>61</v>
      </c>
      <c r="O1" s="3" t="s">
        <v>62</v>
      </c>
      <c r="P1" s="2" t="s">
        <v>172</v>
      </c>
      <c r="Q1" s="2" t="s">
        <v>174</v>
      </c>
      <c r="R1" s="2" t="s">
        <v>175</v>
      </c>
      <c r="S1" s="2" t="s">
        <v>176</v>
      </c>
      <c r="T1" s="2" t="s">
        <v>177</v>
      </c>
      <c r="U1" s="3"/>
      <c r="V1" s="4" t="s">
        <v>113</v>
      </c>
      <c r="W1" s="2" t="s">
        <v>64</v>
      </c>
      <c r="X1" s="2" t="s">
        <v>63</v>
      </c>
    </row>
    <row r="2" spans="1:24" s="2" customFormat="1" ht="12.75" customHeight="1">
      <c r="A2" s="1" t="s">
        <v>178</v>
      </c>
      <c r="B2" s="2" t="s">
        <v>9</v>
      </c>
      <c r="C2" s="2" t="s">
        <v>49</v>
      </c>
      <c r="D2" s="2" t="s">
        <v>65</v>
      </c>
      <c r="E2" s="2" t="s">
        <v>9</v>
      </c>
      <c r="F2" s="2" t="s">
        <v>49</v>
      </c>
      <c r="G2" s="2" t="s">
        <v>65</v>
      </c>
      <c r="H2" s="2" t="s">
        <v>9</v>
      </c>
      <c r="I2" s="2" t="s">
        <v>49</v>
      </c>
      <c r="J2" s="2" t="s">
        <v>65</v>
      </c>
      <c r="L2" s="2" t="s">
        <v>9</v>
      </c>
      <c r="M2" s="2" t="s">
        <v>49</v>
      </c>
      <c r="N2" s="2" t="s">
        <v>65</v>
      </c>
      <c r="O2" s="3" t="s">
        <v>9</v>
      </c>
      <c r="P2" s="2" t="s">
        <v>49</v>
      </c>
      <c r="Q2" s="2" t="s">
        <v>65</v>
      </c>
      <c r="R2" s="2" t="s">
        <v>9</v>
      </c>
      <c r="S2" s="2" t="s">
        <v>49</v>
      </c>
      <c r="T2" s="2" t="s">
        <v>65</v>
      </c>
      <c r="U2" s="3"/>
      <c r="V2" s="2" t="s">
        <v>9</v>
      </c>
      <c r="W2" s="2" t="s">
        <v>9</v>
      </c>
      <c r="X2" s="2" t="s">
        <v>9</v>
      </c>
    </row>
    <row r="3" spans="1:190" s="1" customFormat="1" ht="36">
      <c r="A3" s="1" t="s">
        <v>66</v>
      </c>
      <c r="B3" s="1" t="s">
        <v>67</v>
      </c>
      <c r="C3" s="1" t="s">
        <v>67</v>
      </c>
      <c r="D3" s="1" t="s">
        <v>67</v>
      </c>
      <c r="E3" s="1" t="s">
        <v>68</v>
      </c>
      <c r="F3" s="1" t="s">
        <v>67</v>
      </c>
      <c r="G3" s="1" t="s">
        <v>67</v>
      </c>
      <c r="H3" s="1" t="s">
        <v>67</v>
      </c>
      <c r="I3" s="1" t="s">
        <v>67</v>
      </c>
      <c r="J3" s="1" t="s">
        <v>67</v>
      </c>
      <c r="L3" s="1" t="s">
        <v>67</v>
      </c>
      <c r="M3" s="1" t="s">
        <v>67</v>
      </c>
      <c r="N3" s="1" t="s">
        <v>67</v>
      </c>
      <c r="O3" s="1" t="s">
        <v>67</v>
      </c>
      <c r="P3" s="1" t="s">
        <v>67</v>
      </c>
      <c r="Q3" s="1" t="s">
        <v>67</v>
      </c>
      <c r="R3" s="1" t="s">
        <v>67</v>
      </c>
      <c r="S3" s="1" t="s">
        <v>67</v>
      </c>
      <c r="T3" s="1" t="s">
        <v>67</v>
      </c>
      <c r="U3" s="3"/>
      <c r="V3" s="1" t="s">
        <v>67</v>
      </c>
      <c r="W3" s="1" t="s">
        <v>67</v>
      </c>
      <c r="X3" s="1" t="s">
        <v>67</v>
      </c>
      <c r="GG3" s="3"/>
      <c r="GH3" s="3"/>
    </row>
    <row r="4" spans="1:24" ht="12.75" customHeight="1">
      <c r="A4" s="2" t="s">
        <v>69</v>
      </c>
      <c r="L4" s="106">
        <v>900</v>
      </c>
      <c r="M4" s="106">
        <v>900</v>
      </c>
      <c r="N4" s="106">
        <v>900</v>
      </c>
      <c r="O4" s="107"/>
      <c r="P4" s="106">
        <v>1</v>
      </c>
      <c r="Q4" s="106">
        <v>1</v>
      </c>
      <c r="R4" s="106">
        <v>1</v>
      </c>
      <c r="S4" s="106">
        <v>250</v>
      </c>
      <c r="T4" s="106">
        <v>1</v>
      </c>
      <c r="V4" s="106">
        <v>1000</v>
      </c>
      <c r="W4" s="106">
        <v>500</v>
      </c>
      <c r="X4" s="106">
        <v>1000</v>
      </c>
    </row>
    <row r="5" spans="1:24" ht="12.75" customHeight="1">
      <c r="A5" s="2" t="s">
        <v>70</v>
      </c>
      <c r="B5" s="5">
        <v>1000</v>
      </c>
      <c r="C5" s="5">
        <v>1000</v>
      </c>
      <c r="D5" s="5">
        <v>1000</v>
      </c>
      <c r="E5" s="5">
        <v>1000</v>
      </c>
      <c r="F5" s="5">
        <v>1000</v>
      </c>
      <c r="G5" s="5">
        <v>1000</v>
      </c>
      <c r="H5" s="5">
        <v>1000</v>
      </c>
      <c r="I5" s="5">
        <v>1000</v>
      </c>
      <c r="J5" s="5">
        <v>1000</v>
      </c>
      <c r="L5" s="106"/>
      <c r="M5" s="106"/>
      <c r="N5" s="106"/>
      <c r="O5" s="107"/>
      <c r="P5" s="106">
        <v>1</v>
      </c>
      <c r="Q5" s="106">
        <v>1</v>
      </c>
      <c r="R5" s="106">
        <v>1</v>
      </c>
      <c r="S5" s="106"/>
      <c r="T5" s="106">
        <v>1</v>
      </c>
      <c r="V5" s="106"/>
      <c r="W5" s="106"/>
      <c r="X5" s="106"/>
    </row>
    <row r="6" spans="1:24" ht="12.75" customHeight="1">
      <c r="A6" s="2" t="s">
        <v>71</v>
      </c>
      <c r="L6" s="106"/>
      <c r="M6" s="106"/>
      <c r="N6" s="106"/>
      <c r="O6" s="107">
        <v>1000</v>
      </c>
      <c r="P6" s="106">
        <v>1</v>
      </c>
      <c r="Q6" s="106">
        <v>1</v>
      </c>
      <c r="R6" s="106">
        <v>1</v>
      </c>
      <c r="S6" s="106"/>
      <c r="T6" s="106">
        <v>1</v>
      </c>
      <c r="V6" s="106"/>
      <c r="W6" s="106"/>
      <c r="X6" s="106"/>
    </row>
    <row r="7" spans="1:24" ht="12.75" customHeight="1">
      <c r="A7" s="2" t="s">
        <v>72</v>
      </c>
      <c r="L7" s="106"/>
      <c r="M7" s="106"/>
      <c r="N7" s="106"/>
      <c r="O7" s="107"/>
      <c r="P7" s="106">
        <v>1</v>
      </c>
      <c r="Q7" s="106">
        <v>1</v>
      </c>
      <c r="R7" s="106">
        <v>1</v>
      </c>
      <c r="S7" s="106"/>
      <c r="T7" s="106">
        <v>1</v>
      </c>
      <c r="V7" s="106"/>
      <c r="W7" s="106">
        <v>500</v>
      </c>
      <c r="X7" s="106"/>
    </row>
    <row r="8" spans="1:24" ht="12.75">
      <c r="A8" s="2" t="s">
        <v>73</v>
      </c>
      <c r="L8" s="106">
        <v>100</v>
      </c>
      <c r="M8" s="106">
        <v>100</v>
      </c>
      <c r="N8" s="106">
        <v>100</v>
      </c>
      <c r="O8" s="107"/>
      <c r="P8" s="106">
        <v>1</v>
      </c>
      <c r="Q8" s="106">
        <v>1</v>
      </c>
      <c r="R8" s="106">
        <v>1</v>
      </c>
      <c r="S8" s="106">
        <v>750</v>
      </c>
      <c r="T8" s="106">
        <v>1</v>
      </c>
      <c r="V8" s="106"/>
      <c r="W8" s="106"/>
      <c r="X8" s="106"/>
    </row>
    <row r="9" spans="1:24" ht="12.75">
      <c r="A9" s="2" t="s">
        <v>74</v>
      </c>
      <c r="L9" s="106"/>
      <c r="M9" s="106"/>
      <c r="N9" s="106"/>
      <c r="O9" s="107"/>
      <c r="P9" s="106">
        <v>1</v>
      </c>
      <c r="Q9" s="106">
        <v>1</v>
      </c>
      <c r="R9" s="106">
        <v>1</v>
      </c>
      <c r="S9" s="106"/>
      <c r="T9" s="106">
        <v>1</v>
      </c>
      <c r="V9" s="106"/>
      <c r="W9" s="106"/>
      <c r="X9" s="106"/>
    </row>
    <row r="10" spans="1:24" ht="12.75">
      <c r="A10" s="2" t="s">
        <v>75</v>
      </c>
      <c r="B10" s="5">
        <f>SUM(B5:B9)</f>
        <v>1000</v>
      </c>
      <c r="C10" s="5">
        <f aca="true" t="shared" si="0" ref="C10:J10">SUM(C5:C9)</f>
        <v>1000</v>
      </c>
      <c r="D10" s="5">
        <f t="shared" si="0"/>
        <v>1000</v>
      </c>
      <c r="E10" s="5">
        <f t="shared" si="0"/>
        <v>1000</v>
      </c>
      <c r="F10" s="5">
        <f t="shared" si="0"/>
        <v>1000</v>
      </c>
      <c r="G10" s="5">
        <f t="shared" si="0"/>
        <v>1000</v>
      </c>
      <c r="H10" s="5">
        <f t="shared" si="0"/>
        <v>1000</v>
      </c>
      <c r="I10" s="5">
        <f t="shared" si="0"/>
        <v>1000</v>
      </c>
      <c r="J10" s="5">
        <f t="shared" si="0"/>
        <v>1000</v>
      </c>
      <c r="L10" s="106">
        <f aca="true" t="shared" si="1" ref="L10:R10">SUM(L4:L9)</f>
        <v>1000</v>
      </c>
      <c r="M10" s="106">
        <f t="shared" si="1"/>
        <v>1000</v>
      </c>
      <c r="N10" s="106">
        <f t="shared" si="1"/>
        <v>1000</v>
      </c>
      <c r="O10" s="106">
        <f t="shared" si="1"/>
        <v>1000</v>
      </c>
      <c r="P10" s="106">
        <f t="shared" si="1"/>
        <v>6</v>
      </c>
      <c r="Q10" s="106">
        <f t="shared" si="1"/>
        <v>6</v>
      </c>
      <c r="R10" s="106">
        <f t="shared" si="1"/>
        <v>6</v>
      </c>
      <c r="S10" s="106">
        <v>1000</v>
      </c>
      <c r="T10" s="106">
        <v>1</v>
      </c>
      <c r="V10" s="106">
        <f>SUM(V4:V9)</f>
        <v>1000</v>
      </c>
      <c r="W10" s="106">
        <f>SUM(W4:W9)</f>
        <v>1000</v>
      </c>
      <c r="X10" s="106">
        <f>SUM(X4:X9)</f>
        <v>1000</v>
      </c>
    </row>
    <row r="11" spans="1:24" ht="12.75">
      <c r="A11" s="2" t="s">
        <v>76</v>
      </c>
      <c r="B11" s="5">
        <v>620</v>
      </c>
      <c r="C11" s="5">
        <v>650</v>
      </c>
      <c r="D11" s="5">
        <v>620</v>
      </c>
      <c r="E11" s="5">
        <v>600</v>
      </c>
      <c r="F11" s="5">
        <v>600</v>
      </c>
      <c r="G11" s="5">
        <v>600</v>
      </c>
      <c r="H11" s="5">
        <v>640</v>
      </c>
      <c r="I11" s="5">
        <v>640</v>
      </c>
      <c r="J11" s="5">
        <v>640</v>
      </c>
      <c r="L11" s="106">
        <v>620</v>
      </c>
      <c r="M11" s="106">
        <v>620</v>
      </c>
      <c r="N11" s="106">
        <v>600</v>
      </c>
      <c r="O11" s="107">
        <v>700</v>
      </c>
      <c r="P11" s="106">
        <v>1</v>
      </c>
      <c r="Q11" s="106">
        <v>1</v>
      </c>
      <c r="R11" s="106">
        <v>1</v>
      </c>
      <c r="S11" s="106">
        <v>600</v>
      </c>
      <c r="T11" s="106">
        <v>1</v>
      </c>
      <c r="V11" s="106">
        <v>500</v>
      </c>
      <c r="W11" s="106">
        <v>100</v>
      </c>
      <c r="X11" s="106">
        <v>400</v>
      </c>
    </row>
    <row r="12" spans="1:24" ht="12.75">
      <c r="A12" s="2" t="s">
        <v>77</v>
      </c>
      <c r="B12" s="5">
        <v>18</v>
      </c>
      <c r="C12" s="5">
        <v>18</v>
      </c>
      <c r="D12" s="5">
        <v>18</v>
      </c>
      <c r="E12" s="5">
        <v>20</v>
      </c>
      <c r="F12" s="5">
        <v>20</v>
      </c>
      <c r="G12" s="5">
        <v>20</v>
      </c>
      <c r="H12" s="5">
        <v>16</v>
      </c>
      <c r="I12" s="5">
        <v>16</v>
      </c>
      <c r="J12" s="5">
        <v>16</v>
      </c>
      <c r="L12" s="106">
        <v>20</v>
      </c>
      <c r="M12" s="106">
        <v>20</v>
      </c>
      <c r="N12" s="106">
        <v>20</v>
      </c>
      <c r="O12" s="107">
        <v>20</v>
      </c>
      <c r="P12" s="106">
        <v>1</v>
      </c>
      <c r="Q12" s="106">
        <v>1</v>
      </c>
      <c r="R12" s="106">
        <v>1</v>
      </c>
      <c r="S12" s="106">
        <v>20</v>
      </c>
      <c r="T12" s="106">
        <v>1</v>
      </c>
      <c r="V12" s="106">
        <v>20</v>
      </c>
      <c r="W12" s="106">
        <v>20</v>
      </c>
      <c r="X12" s="106">
        <v>20</v>
      </c>
    </row>
    <row r="13" spans="1:24" ht="12.75">
      <c r="A13" s="2" t="s">
        <v>99</v>
      </c>
      <c r="B13" s="5">
        <v>18</v>
      </c>
      <c r="C13" s="5">
        <v>10</v>
      </c>
      <c r="D13" s="5">
        <v>16</v>
      </c>
      <c r="E13" s="5">
        <v>20</v>
      </c>
      <c r="F13" s="5">
        <v>10</v>
      </c>
      <c r="G13" s="5">
        <v>18</v>
      </c>
      <c r="H13" s="5">
        <v>16</v>
      </c>
      <c r="I13" s="5">
        <v>8</v>
      </c>
      <c r="J13" s="5">
        <v>14</v>
      </c>
      <c r="L13" s="106">
        <v>18</v>
      </c>
      <c r="M13" s="106">
        <v>10</v>
      </c>
      <c r="N13" s="106">
        <v>18</v>
      </c>
      <c r="O13" s="107">
        <v>30</v>
      </c>
      <c r="P13" s="106">
        <v>1</v>
      </c>
      <c r="Q13" s="106">
        <v>1</v>
      </c>
      <c r="R13" s="106">
        <v>1</v>
      </c>
      <c r="S13" s="106">
        <v>10</v>
      </c>
      <c r="T13" s="106">
        <v>1</v>
      </c>
      <c r="V13" s="106">
        <v>30</v>
      </c>
      <c r="W13" s="106">
        <v>40</v>
      </c>
      <c r="X13" s="106">
        <v>30</v>
      </c>
    </row>
    <row r="14" spans="1:24" ht="12.75">
      <c r="A14" s="2" t="s">
        <v>78</v>
      </c>
      <c r="L14" s="106"/>
      <c r="M14" s="106"/>
      <c r="N14" s="106"/>
      <c r="O14" s="107"/>
      <c r="P14" s="106">
        <v>1</v>
      </c>
      <c r="Q14" s="106">
        <v>1</v>
      </c>
      <c r="R14" s="106">
        <v>1</v>
      </c>
      <c r="S14" s="106"/>
      <c r="T14" s="106">
        <v>1</v>
      </c>
      <c r="V14" s="106">
        <v>120</v>
      </c>
      <c r="W14" s="106">
        <v>150</v>
      </c>
      <c r="X14" s="106">
        <v>80</v>
      </c>
    </row>
    <row r="15" spans="1:24" ht="12.75">
      <c r="A15" s="2" t="s">
        <v>79</v>
      </c>
      <c r="L15" s="106"/>
      <c r="M15" s="106"/>
      <c r="N15" s="106"/>
      <c r="O15" s="107"/>
      <c r="P15" s="106">
        <v>1</v>
      </c>
      <c r="Q15" s="106">
        <v>1</v>
      </c>
      <c r="R15" s="106">
        <v>1</v>
      </c>
      <c r="S15" s="106"/>
      <c r="T15" s="106">
        <v>1</v>
      </c>
      <c r="V15" s="106">
        <v>50</v>
      </c>
      <c r="W15" s="106">
        <v>500</v>
      </c>
      <c r="X15" s="106">
        <v>200</v>
      </c>
    </row>
    <row r="16" spans="1:24" ht="12.75">
      <c r="A16" s="2" t="s">
        <v>80</v>
      </c>
      <c r="L16" s="106"/>
      <c r="M16" s="106"/>
      <c r="N16" s="106"/>
      <c r="O16" s="107"/>
      <c r="P16" s="106">
        <v>1</v>
      </c>
      <c r="Q16" s="106">
        <v>1</v>
      </c>
      <c r="R16" s="106">
        <v>1</v>
      </c>
      <c r="S16" s="106"/>
      <c r="T16" s="106">
        <v>1</v>
      </c>
      <c r="V16" s="106"/>
      <c r="W16" s="106"/>
      <c r="X16" s="106"/>
    </row>
    <row r="17" spans="1:24" ht="12.75">
      <c r="A17" s="2" t="s">
        <v>81</v>
      </c>
      <c r="L17" s="106"/>
      <c r="M17" s="106"/>
      <c r="N17" s="106"/>
      <c r="O17" s="107"/>
      <c r="P17" s="106">
        <v>1</v>
      </c>
      <c r="Q17" s="106">
        <v>1</v>
      </c>
      <c r="R17" s="106">
        <v>1</v>
      </c>
      <c r="S17" s="106"/>
      <c r="T17" s="106">
        <v>1</v>
      </c>
      <c r="V17" s="106">
        <v>50</v>
      </c>
      <c r="W17" s="106"/>
      <c r="X17" s="106">
        <v>40</v>
      </c>
    </row>
    <row r="18" spans="1:24" ht="12.75">
      <c r="A18" s="2" t="s">
        <v>169</v>
      </c>
      <c r="L18" s="106"/>
      <c r="M18" s="106"/>
      <c r="N18" s="106"/>
      <c r="O18" s="106"/>
      <c r="P18" s="106">
        <v>1</v>
      </c>
      <c r="Q18" s="106">
        <v>1</v>
      </c>
      <c r="R18" s="106">
        <v>1</v>
      </c>
      <c r="S18" s="106"/>
      <c r="T18" s="106">
        <v>1</v>
      </c>
      <c r="V18" s="106">
        <v>500</v>
      </c>
      <c r="W18" s="106">
        <v>300</v>
      </c>
      <c r="X18" s="106">
        <v>200</v>
      </c>
    </row>
    <row r="19" spans="1:24" ht="12.75">
      <c r="A19" s="2" t="s">
        <v>82</v>
      </c>
      <c r="L19" s="106"/>
      <c r="M19" s="106"/>
      <c r="N19" s="106"/>
      <c r="O19" s="106"/>
      <c r="P19" s="106">
        <v>1</v>
      </c>
      <c r="Q19" s="106">
        <v>1</v>
      </c>
      <c r="R19" s="106">
        <v>1</v>
      </c>
      <c r="S19" s="106"/>
      <c r="T19" s="106">
        <v>1</v>
      </c>
      <c r="V19" s="106"/>
      <c r="W19" s="106"/>
      <c r="X19" s="106"/>
    </row>
    <row r="20" spans="1:24" ht="12.75">
      <c r="A20" s="2" t="s">
        <v>129</v>
      </c>
      <c r="C20" s="5">
        <v>250</v>
      </c>
      <c r="F20" s="5">
        <v>240</v>
      </c>
      <c r="I20" s="5">
        <v>260</v>
      </c>
      <c r="L20" s="106"/>
      <c r="M20" s="106">
        <v>250</v>
      </c>
      <c r="N20" s="106"/>
      <c r="O20" s="106"/>
      <c r="P20" s="106">
        <v>1</v>
      </c>
      <c r="Q20" s="106">
        <v>1</v>
      </c>
      <c r="R20" s="106">
        <v>1</v>
      </c>
      <c r="S20" s="106">
        <v>230</v>
      </c>
      <c r="T20" s="106">
        <v>1</v>
      </c>
      <c r="V20" s="106"/>
      <c r="W20" s="106"/>
      <c r="X20" s="106"/>
    </row>
    <row r="21" spans="1:24" ht="12.75">
      <c r="A21" s="2" t="s">
        <v>102</v>
      </c>
      <c r="B21" s="106"/>
      <c r="C21" s="106"/>
      <c r="D21" s="106"/>
      <c r="E21" s="106"/>
      <c r="F21" s="106"/>
      <c r="G21" s="106"/>
      <c r="H21" s="106"/>
      <c r="I21" s="106"/>
      <c r="J21" s="106"/>
      <c r="K21" s="106"/>
      <c r="L21" s="106"/>
      <c r="M21" s="106"/>
      <c r="N21" s="106"/>
      <c r="O21" s="106"/>
      <c r="P21" s="106">
        <v>1</v>
      </c>
      <c r="Q21" s="106">
        <v>1</v>
      </c>
      <c r="R21" s="106">
        <v>1</v>
      </c>
      <c r="S21" s="106">
        <v>20</v>
      </c>
      <c r="T21" s="106">
        <v>1</v>
      </c>
      <c r="V21" s="106"/>
      <c r="W21" s="106"/>
      <c r="X21" s="106"/>
    </row>
    <row r="22" spans="1:24" ht="12.75">
      <c r="A22" s="2" t="s">
        <v>83</v>
      </c>
      <c r="B22" s="106"/>
      <c r="C22" s="106"/>
      <c r="D22" s="106"/>
      <c r="E22" s="106"/>
      <c r="F22" s="106"/>
      <c r="G22" s="106"/>
      <c r="H22" s="106"/>
      <c r="I22" s="106"/>
      <c r="J22" s="106"/>
      <c r="K22" s="106"/>
      <c r="L22" s="106"/>
      <c r="M22" s="106"/>
      <c r="N22" s="106"/>
      <c r="O22" s="106"/>
      <c r="P22" s="106">
        <v>1</v>
      </c>
      <c r="Q22" s="106">
        <v>1</v>
      </c>
      <c r="R22" s="106">
        <v>1</v>
      </c>
      <c r="S22" s="106"/>
      <c r="T22" s="106">
        <v>1</v>
      </c>
      <c r="V22" s="106"/>
      <c r="W22" s="106"/>
      <c r="X22" s="106"/>
    </row>
    <row r="23" spans="1:24" ht="12.75">
      <c r="A23" s="2" t="s">
        <v>84</v>
      </c>
      <c r="B23" s="106"/>
      <c r="C23" s="106"/>
      <c r="D23" s="106"/>
      <c r="E23" s="106"/>
      <c r="F23" s="106"/>
      <c r="G23" s="106"/>
      <c r="H23" s="106"/>
      <c r="I23" s="106"/>
      <c r="J23" s="106"/>
      <c r="K23" s="106"/>
      <c r="L23" s="106"/>
      <c r="M23" s="106"/>
      <c r="N23" s="106"/>
      <c r="O23" s="106"/>
      <c r="P23" s="106">
        <v>1</v>
      </c>
      <c r="Q23" s="106">
        <v>1</v>
      </c>
      <c r="R23" s="106">
        <v>1</v>
      </c>
      <c r="S23" s="106"/>
      <c r="T23" s="106">
        <v>1</v>
      </c>
      <c r="V23" s="106"/>
      <c r="W23" s="106"/>
      <c r="X23" s="106"/>
    </row>
    <row r="24" spans="1:24" ht="12.75">
      <c r="A24" s="2" t="s">
        <v>85</v>
      </c>
      <c r="B24" s="106">
        <f>SUM(B10:B23)</f>
        <v>1656</v>
      </c>
      <c r="C24" s="106">
        <f aca="true" t="shared" si="2" ref="C24:J24">SUM(C10:C23)</f>
        <v>1928</v>
      </c>
      <c r="D24" s="106">
        <f t="shared" si="2"/>
        <v>1654</v>
      </c>
      <c r="E24" s="106">
        <f t="shared" si="2"/>
        <v>1640</v>
      </c>
      <c r="F24" s="106">
        <f t="shared" si="2"/>
        <v>1870</v>
      </c>
      <c r="G24" s="106">
        <f t="shared" si="2"/>
        <v>1638</v>
      </c>
      <c r="H24" s="106">
        <f t="shared" si="2"/>
        <v>1672</v>
      </c>
      <c r="I24" s="106">
        <f t="shared" si="2"/>
        <v>1924</v>
      </c>
      <c r="J24" s="106">
        <f t="shared" si="2"/>
        <v>1670</v>
      </c>
      <c r="K24" s="106"/>
      <c r="L24" s="106">
        <f>SUM(L10:L23)</f>
        <v>1658</v>
      </c>
      <c r="M24" s="106">
        <f>SUM(M10:M23)</f>
        <v>1900</v>
      </c>
      <c r="N24" s="106">
        <f aca="true" t="shared" si="3" ref="N24:S24">SUM(N10:N23)</f>
        <v>1638</v>
      </c>
      <c r="O24" s="106">
        <f t="shared" si="3"/>
        <v>1750</v>
      </c>
      <c r="P24" s="106">
        <f t="shared" si="3"/>
        <v>19</v>
      </c>
      <c r="Q24" s="106">
        <f t="shared" si="3"/>
        <v>19</v>
      </c>
      <c r="R24" s="106">
        <f t="shared" si="3"/>
        <v>19</v>
      </c>
      <c r="S24" s="106">
        <f t="shared" si="3"/>
        <v>1880</v>
      </c>
      <c r="T24" s="106"/>
      <c r="V24" s="106">
        <f>SUM(V10:V23)</f>
        <v>2270</v>
      </c>
      <c r="W24" s="106">
        <f>SUM(W10:W23)</f>
        <v>2110</v>
      </c>
      <c r="X24" s="106">
        <f>SUM(X10:X23)</f>
        <v>1970</v>
      </c>
    </row>
    <row r="25" spans="1:24" ht="12.75">
      <c r="A25" s="2" t="s">
        <v>103</v>
      </c>
      <c r="B25" s="106" t="s">
        <v>87</v>
      </c>
      <c r="C25" s="106" t="s">
        <v>87</v>
      </c>
      <c r="D25" s="106" t="s">
        <v>87</v>
      </c>
      <c r="E25" s="106" t="s">
        <v>86</v>
      </c>
      <c r="F25" s="106" t="s">
        <v>86</v>
      </c>
      <c r="G25" s="106" t="s">
        <v>86</v>
      </c>
      <c r="H25" s="106" t="s">
        <v>88</v>
      </c>
      <c r="I25" s="106" t="s">
        <v>88</v>
      </c>
      <c r="J25" s="106" t="s">
        <v>88</v>
      </c>
      <c r="K25" s="106"/>
      <c r="L25" s="106" t="s">
        <v>87</v>
      </c>
      <c r="M25" s="106" t="s">
        <v>87</v>
      </c>
      <c r="N25" s="106" t="s">
        <v>87</v>
      </c>
      <c r="O25" s="106" t="s">
        <v>86</v>
      </c>
      <c r="P25" s="10"/>
      <c r="Q25" s="10"/>
      <c r="R25" s="10"/>
      <c r="S25" s="106" t="s">
        <v>88</v>
      </c>
      <c r="T25" s="106"/>
      <c r="V25" s="106" t="s">
        <v>86</v>
      </c>
      <c r="W25" s="106"/>
      <c r="X25" s="106" t="s">
        <v>86</v>
      </c>
    </row>
    <row r="26" spans="1:24" ht="60">
      <c r="A26" s="115" t="s">
        <v>223</v>
      </c>
      <c r="B26" s="106" t="s">
        <v>170</v>
      </c>
      <c r="C26" s="106" t="s">
        <v>240</v>
      </c>
      <c r="D26" s="106" t="s">
        <v>170</v>
      </c>
      <c r="E26" s="106" t="s">
        <v>100</v>
      </c>
      <c r="F26" s="106" t="s">
        <v>100</v>
      </c>
      <c r="G26" s="106" t="s">
        <v>100</v>
      </c>
      <c r="H26" s="106" t="s">
        <v>179</v>
      </c>
      <c r="I26" s="106" t="s">
        <v>171</v>
      </c>
      <c r="J26" s="106" t="s">
        <v>171</v>
      </c>
      <c r="K26" s="106"/>
      <c r="L26" s="106" t="s">
        <v>104</v>
      </c>
      <c r="M26" s="106" t="s">
        <v>240</v>
      </c>
      <c r="N26" s="106" t="s">
        <v>104</v>
      </c>
      <c r="O26" s="106" t="s">
        <v>105</v>
      </c>
      <c r="P26" s="10"/>
      <c r="Q26" s="10"/>
      <c r="R26" s="10"/>
      <c r="S26" s="106" t="s">
        <v>106</v>
      </c>
      <c r="T26" s="106"/>
      <c r="V26" s="106" t="s">
        <v>248</v>
      </c>
      <c r="W26" s="108" t="s">
        <v>189</v>
      </c>
      <c r="X26" s="108" t="s">
        <v>191</v>
      </c>
    </row>
    <row r="27" spans="1:24" ht="25.5">
      <c r="A27" s="48" t="s">
        <v>188</v>
      </c>
      <c r="B27" s="106"/>
      <c r="C27" s="106"/>
      <c r="D27" s="106"/>
      <c r="E27" s="106"/>
      <c r="F27" s="106"/>
      <c r="G27" s="106"/>
      <c r="H27" s="106"/>
      <c r="I27" s="106"/>
      <c r="J27" s="106"/>
      <c r="K27" s="106"/>
      <c r="L27" s="106"/>
      <c r="M27" s="106"/>
      <c r="N27" s="106"/>
      <c r="O27" s="106"/>
      <c r="P27" s="10"/>
      <c r="Q27" s="10"/>
      <c r="R27" s="10"/>
      <c r="S27" s="106"/>
      <c r="T27" s="106"/>
      <c r="V27" s="106"/>
      <c r="W27" s="106" t="s">
        <v>190</v>
      </c>
      <c r="X27" s="106" t="s">
        <v>192</v>
      </c>
    </row>
    <row r="28" spans="1:24" ht="12.75">
      <c r="A28" s="2" t="s">
        <v>108</v>
      </c>
      <c r="B28" s="106"/>
      <c r="C28" s="106"/>
      <c r="D28" s="106"/>
      <c r="E28" s="106"/>
      <c r="F28" s="106"/>
      <c r="G28" s="106"/>
      <c r="H28" s="106"/>
      <c r="I28" s="106"/>
      <c r="J28" s="106"/>
      <c r="K28" s="106"/>
      <c r="L28" s="106"/>
      <c r="M28" s="106"/>
      <c r="N28" s="106"/>
      <c r="O28" s="106"/>
      <c r="P28" s="10"/>
      <c r="Q28" s="10"/>
      <c r="R28" s="10"/>
      <c r="S28" s="106"/>
      <c r="T28" s="106"/>
      <c r="V28" s="106" t="s">
        <v>180</v>
      </c>
      <c r="W28" s="106" t="s">
        <v>114</v>
      </c>
      <c r="X28" s="106" t="s">
        <v>114</v>
      </c>
    </row>
    <row r="29" spans="1:49" ht="12.75">
      <c r="A29" s="2" t="s">
        <v>89</v>
      </c>
      <c r="B29" s="106" t="s">
        <v>91</v>
      </c>
      <c r="C29" s="106" t="s">
        <v>91</v>
      </c>
      <c r="D29" s="106" t="s">
        <v>90</v>
      </c>
      <c r="E29" s="106" t="s">
        <v>90</v>
      </c>
      <c r="F29" s="106" t="s">
        <v>94</v>
      </c>
      <c r="G29" s="106" t="s">
        <v>93</v>
      </c>
      <c r="H29" s="106" t="s">
        <v>96</v>
      </c>
      <c r="I29" s="106" t="s">
        <v>92</v>
      </c>
      <c r="J29" s="106" t="s">
        <v>91</v>
      </c>
      <c r="K29" s="106"/>
      <c r="L29" s="106" t="s">
        <v>91</v>
      </c>
      <c r="M29" s="106" t="s">
        <v>91</v>
      </c>
      <c r="N29" s="106" t="s">
        <v>93</v>
      </c>
      <c r="O29" s="106" t="s">
        <v>91</v>
      </c>
      <c r="P29" s="10"/>
      <c r="Q29" s="10"/>
      <c r="R29" s="10"/>
      <c r="S29" s="106" t="s">
        <v>90</v>
      </c>
      <c r="T29" s="106"/>
      <c r="V29" s="106" t="s">
        <v>249</v>
      </c>
      <c r="W29" s="106" t="s">
        <v>181</v>
      </c>
      <c r="X29" s="106" t="s">
        <v>250</v>
      </c>
      <c r="AA29" s="5">
        <v>8</v>
      </c>
      <c r="AB29" s="5">
        <v>8</v>
      </c>
      <c r="AC29" s="5">
        <v>8</v>
      </c>
      <c r="AD29" s="5">
        <v>8</v>
      </c>
      <c r="AE29" s="5">
        <v>8</v>
      </c>
      <c r="AF29" s="5">
        <v>8</v>
      </c>
      <c r="AG29" s="5">
        <v>8</v>
      </c>
      <c r="AH29" s="5">
        <v>8</v>
      </c>
      <c r="AI29" s="5">
        <v>8</v>
      </c>
      <c r="AJ29" s="5">
        <v>8</v>
      </c>
      <c r="AK29" s="5">
        <v>8</v>
      </c>
      <c r="AL29" s="5">
        <v>8</v>
      </c>
      <c r="AM29" s="5">
        <v>8</v>
      </c>
      <c r="AN29" s="5">
        <v>8</v>
      </c>
      <c r="AO29" s="5">
        <v>8</v>
      </c>
      <c r="AP29" s="5">
        <v>8</v>
      </c>
      <c r="AQ29" s="5">
        <v>8</v>
      </c>
      <c r="AR29" s="5">
        <v>8</v>
      </c>
      <c r="AS29" s="5">
        <v>8</v>
      </c>
      <c r="AT29" s="5">
        <v>8</v>
      </c>
      <c r="AU29" s="5">
        <v>8</v>
      </c>
      <c r="AV29" s="5">
        <v>8</v>
      </c>
      <c r="AW29" s="5">
        <v>8</v>
      </c>
    </row>
    <row r="30" spans="1:24" ht="12.75">
      <c r="A30" s="2" t="s">
        <v>95</v>
      </c>
      <c r="B30" s="106" t="s">
        <v>91</v>
      </c>
      <c r="C30" s="106" t="s">
        <v>91</v>
      </c>
      <c r="D30" s="106" t="s">
        <v>91</v>
      </c>
      <c r="E30" s="106" t="s">
        <v>96</v>
      </c>
      <c r="F30" s="106" t="s">
        <v>97</v>
      </c>
      <c r="G30" s="106" t="s">
        <v>96</v>
      </c>
      <c r="H30" s="106" t="s">
        <v>94</v>
      </c>
      <c r="I30" s="106" t="s">
        <v>92</v>
      </c>
      <c r="J30" s="106" t="s">
        <v>94</v>
      </c>
      <c r="K30" s="106"/>
      <c r="L30" s="106" t="s">
        <v>235</v>
      </c>
      <c r="M30" s="106" t="s">
        <v>92</v>
      </c>
      <c r="N30" s="106" t="s">
        <v>91</v>
      </c>
      <c r="O30" s="106" t="s">
        <v>91</v>
      </c>
      <c r="P30" s="10"/>
      <c r="Q30" s="10"/>
      <c r="R30" s="10"/>
      <c r="S30" s="106" t="s">
        <v>94</v>
      </c>
      <c r="T30" s="106"/>
      <c r="V30" s="106" t="s">
        <v>92</v>
      </c>
      <c r="W30" s="106" t="s">
        <v>92</v>
      </c>
      <c r="X30" s="106" t="s">
        <v>91</v>
      </c>
    </row>
    <row r="31" spans="1:24" ht="12.75">
      <c r="A31" s="2" t="s">
        <v>109</v>
      </c>
      <c r="B31" s="106"/>
      <c r="C31" s="106" t="s">
        <v>240</v>
      </c>
      <c r="D31" s="106"/>
      <c r="E31" s="106"/>
      <c r="F31" s="106"/>
      <c r="G31" s="106"/>
      <c r="H31" s="106"/>
      <c r="I31" s="106"/>
      <c r="J31" s="106"/>
      <c r="K31" s="106"/>
      <c r="L31" s="106"/>
      <c r="M31" s="106"/>
      <c r="N31" s="106"/>
      <c r="O31" s="106"/>
      <c r="P31" s="10"/>
      <c r="Q31" s="10"/>
      <c r="R31" s="10"/>
      <c r="S31" s="106"/>
      <c r="T31" s="106"/>
      <c r="V31" s="106" t="s">
        <v>240</v>
      </c>
      <c r="W31" s="106" t="s">
        <v>110</v>
      </c>
      <c r="X31" s="106" t="s">
        <v>240</v>
      </c>
    </row>
    <row r="32" spans="2:24" ht="12.75">
      <c r="B32" s="106"/>
      <c r="C32" s="106"/>
      <c r="D32" s="106"/>
      <c r="E32" s="106"/>
      <c r="F32" s="106"/>
      <c r="G32" s="106"/>
      <c r="H32" s="106"/>
      <c r="I32" s="106"/>
      <c r="J32" s="106"/>
      <c r="K32" s="106"/>
      <c r="L32" s="106"/>
      <c r="M32" s="106"/>
      <c r="N32" s="106"/>
      <c r="O32" s="106"/>
      <c r="P32" s="10"/>
      <c r="Q32" s="10"/>
      <c r="R32" s="10"/>
      <c r="S32" s="106"/>
      <c r="T32" s="106"/>
      <c r="V32" s="106"/>
      <c r="W32" s="106"/>
      <c r="X32" s="106"/>
    </row>
    <row r="33" spans="2:24" ht="12.75">
      <c r="B33" s="106"/>
      <c r="C33" s="106"/>
      <c r="D33" s="106"/>
      <c r="E33" s="106"/>
      <c r="F33" s="106"/>
      <c r="G33" s="106"/>
      <c r="H33" s="106"/>
      <c r="I33" s="106"/>
      <c r="J33" s="106"/>
      <c r="K33" s="106"/>
      <c r="L33" s="106"/>
      <c r="M33" s="106"/>
      <c r="N33" s="106"/>
      <c r="O33" s="106"/>
      <c r="P33" s="10"/>
      <c r="Q33" s="10"/>
      <c r="R33" s="10"/>
      <c r="S33" s="10"/>
      <c r="T33" s="106"/>
      <c r="V33" s="106"/>
      <c r="W33" s="106"/>
      <c r="X33" s="106"/>
    </row>
    <row r="36" spans="20:21" ht="13.5" thickBot="1">
      <c r="T36" s="144"/>
      <c r="U36" s="145"/>
    </row>
    <row r="37" spans="18:23" ht="13.5" thickBot="1">
      <c r="R37" s="12"/>
      <c r="S37" s="12"/>
      <c r="T37" s="120">
        <v>1</v>
      </c>
      <c r="U37" s="121" t="s">
        <v>9</v>
      </c>
      <c r="V37" s="134"/>
      <c r="W37" s="134"/>
    </row>
    <row r="38" spans="18:24" ht="12.75">
      <c r="R38" s="119">
        <v>1</v>
      </c>
      <c r="S38" s="142" t="s">
        <v>224</v>
      </c>
      <c r="T38" s="125">
        <v>2</v>
      </c>
      <c r="U38" s="126" t="s">
        <v>65</v>
      </c>
      <c r="V38" s="122">
        <v>1</v>
      </c>
      <c r="W38" s="122" t="s">
        <v>182</v>
      </c>
      <c r="X38" s="123">
        <v>1</v>
      </c>
    </row>
    <row r="39" spans="18:24" ht="12.75">
      <c r="R39" s="124">
        <v>2</v>
      </c>
      <c r="S39" s="62" t="s">
        <v>225</v>
      </c>
      <c r="T39" s="125">
        <v>3</v>
      </c>
      <c r="U39" s="126" t="s">
        <v>49</v>
      </c>
      <c r="V39" s="127">
        <v>2</v>
      </c>
      <c r="W39" s="127" t="s">
        <v>227</v>
      </c>
      <c r="X39" s="128">
        <v>2</v>
      </c>
    </row>
    <row r="40" spans="18:24" ht="13.5" thickBot="1">
      <c r="R40" s="129">
        <v>3</v>
      </c>
      <c r="S40" s="143" t="s">
        <v>226</v>
      </c>
      <c r="T40" s="130">
        <v>4</v>
      </c>
      <c r="U40" s="146" t="s">
        <v>231</v>
      </c>
      <c r="V40" s="131">
        <v>3</v>
      </c>
      <c r="W40" s="131" t="s">
        <v>228</v>
      </c>
      <c r="X40" s="128">
        <v>3</v>
      </c>
    </row>
    <row r="41" spans="18:24" ht="13.5" thickBot="1">
      <c r="R41" s="149">
        <v>2</v>
      </c>
      <c r="S41" s="12"/>
      <c r="T41" s="150">
        <v>3</v>
      </c>
      <c r="U41" s="163">
        <v>3</v>
      </c>
      <c r="V41" s="151">
        <v>1</v>
      </c>
      <c r="W41" s="134"/>
      <c r="X41" s="128">
        <v>4</v>
      </c>
    </row>
    <row r="42" spans="18:24" ht="13.5" thickBot="1">
      <c r="R42" s="12"/>
      <c r="S42" s="12"/>
      <c r="T42" s="284" t="s">
        <v>232</v>
      </c>
      <c r="U42" s="284"/>
      <c r="V42" s="134"/>
      <c r="W42" s="134"/>
      <c r="X42" s="128">
        <v>5</v>
      </c>
    </row>
    <row r="43" spans="18:24" ht="12.75">
      <c r="R43" s="12"/>
      <c r="S43" s="12"/>
      <c r="T43" s="120">
        <f>T37</f>
        <v>1</v>
      </c>
      <c r="U43" s="121" t="s">
        <v>9</v>
      </c>
      <c r="V43" s="134"/>
      <c r="W43" s="134"/>
      <c r="X43" s="128">
        <v>6</v>
      </c>
    </row>
    <row r="44" spans="18:24" ht="12.75">
      <c r="R44" s="12"/>
      <c r="S44" s="12"/>
      <c r="T44" s="125">
        <f>T38</f>
        <v>2</v>
      </c>
      <c r="U44" s="126" t="s">
        <v>65</v>
      </c>
      <c r="V44" s="134"/>
      <c r="W44" s="134"/>
      <c r="X44" s="128">
        <v>7</v>
      </c>
    </row>
    <row r="45" spans="18:24" ht="12.75">
      <c r="R45" s="12"/>
      <c r="S45" s="12"/>
      <c r="T45" s="125">
        <f>T39</f>
        <v>3</v>
      </c>
      <c r="U45" s="126" t="s">
        <v>49</v>
      </c>
      <c r="V45" s="134"/>
      <c r="W45" s="134"/>
      <c r="X45" s="128">
        <v>8</v>
      </c>
    </row>
    <row r="46" spans="18:24" ht="13.5" thickBot="1">
      <c r="R46" s="12"/>
      <c r="S46" s="12"/>
      <c r="T46" s="130">
        <f>T40</f>
        <v>4</v>
      </c>
      <c r="U46" s="146">
        <v>0</v>
      </c>
      <c r="V46" s="134"/>
      <c r="W46" s="134"/>
      <c r="X46" s="128">
        <v>9</v>
      </c>
    </row>
    <row r="47" ht="12.75">
      <c r="X47" s="128">
        <v>10</v>
      </c>
    </row>
    <row r="48" ht="12.75">
      <c r="X48" s="128">
        <v>11</v>
      </c>
    </row>
    <row r="49" ht="12.75">
      <c r="X49" s="128">
        <v>12</v>
      </c>
    </row>
    <row r="50" ht="12.75">
      <c r="X50" s="128">
        <v>13</v>
      </c>
    </row>
    <row r="51" ht="12.75">
      <c r="X51" s="128">
        <v>14</v>
      </c>
    </row>
    <row r="52" ht="12.75">
      <c r="X52" s="128">
        <v>15</v>
      </c>
    </row>
    <row r="53" ht="13.5" thickBot="1">
      <c r="X53" s="135">
        <v>16</v>
      </c>
    </row>
    <row r="54" ht="13.5" thickBot="1">
      <c r="X54" s="132">
        <v>10</v>
      </c>
    </row>
  </sheetData>
  <sheetProtection password="8707" sheet="1" objects="1" scenarios="1"/>
  <mergeCells count="1">
    <mergeCell ref="T42:U42"/>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PARSY</dc:creator>
  <cp:keywords/>
  <dc:description/>
  <cp:lastModifiedBy>p.parsy</cp:lastModifiedBy>
  <cp:lastPrinted>2007-11-12T16:10:33Z</cp:lastPrinted>
  <dcterms:created xsi:type="dcterms:W3CDTF">2003-09-19T08:06:31Z</dcterms:created>
  <dcterms:modified xsi:type="dcterms:W3CDTF">2008-02-06T09:45:10Z</dcterms:modified>
  <cp:category/>
  <cp:version/>
  <cp:contentType/>
  <cp:contentStatus/>
</cp:coreProperties>
</file>